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clareex\Desktop\Website PDFs\"/>
    </mc:Choice>
  </mc:AlternateContent>
  <xr:revisionPtr revIDLastSave="0" documentId="8_{99A222D8-E244-4EF7-9774-747B47E46C0D}" xr6:coauthVersionLast="31" xr6:coauthVersionMax="31" xr10:uidLastSave="{00000000-0000-0000-0000-000000000000}"/>
  <bookViews>
    <workbookView xWindow="0" yWindow="0" windowWidth="23040" windowHeight="6480" activeTab="1" xr2:uid="{00000000-000D-0000-FFFF-FFFF00000000}"/>
  </bookViews>
  <sheets>
    <sheet name="Explanations" sheetId="6" r:id="rId1"/>
    <sheet name="Modeling" sheetId="5" r:id="rId2"/>
    <sheet name="Current Funding" sheetId="7" r:id="rId3"/>
  </sheets>
  <definedNames>
    <definedName name="_xlnm.Print_Area" localSheetId="1">Modeling!$A$1:$X$31</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1" i="5" l="1"/>
  <c r="M9" i="5"/>
  <c r="C5" i="7" l="1"/>
  <c r="C6" i="7" s="1"/>
  <c r="C7" i="7" s="1"/>
  <c r="E5" i="5" s="1"/>
  <c r="R52" i="5" l="1"/>
  <c r="R51" i="5"/>
  <c r="R45" i="5"/>
  <c r="R44" i="5"/>
  <c r="R38" i="5"/>
  <c r="R37" i="5"/>
  <c r="C29" i="5"/>
  <c r="D16" i="5"/>
  <c r="D14" i="5"/>
  <c r="B14" i="5"/>
  <c r="D13" i="5"/>
  <c r="B13" i="5"/>
  <c r="D11" i="5"/>
  <c r="B11" i="5"/>
  <c r="E13" i="5" s="1"/>
  <c r="C18" i="5" s="1"/>
  <c r="B19" i="5" s="1"/>
  <c r="E14" i="5" l="1"/>
  <c r="C19" i="5" s="1"/>
  <c r="D18" i="5"/>
  <c r="E18" i="5" s="1"/>
  <c r="B18" i="5"/>
  <c r="B25" i="5"/>
  <c r="I37" i="5"/>
  <c r="Q37" i="5" s="1"/>
  <c r="I38" i="5"/>
  <c r="Q38" i="5" s="1"/>
  <c r="D19" i="5" l="1"/>
  <c r="E19" i="5"/>
  <c r="T52" i="5" s="1"/>
  <c r="T51" i="5"/>
  <c r="T44" i="5"/>
  <c r="T37" i="5"/>
  <c r="B39" i="5"/>
  <c r="F38" i="5"/>
  <c r="L38" i="5" s="1"/>
  <c r="M38" i="5" s="1"/>
  <c r="D38" i="5"/>
  <c r="E38" i="5" s="1"/>
  <c r="F37" i="5"/>
  <c r="L37" i="5" s="1"/>
  <c r="M37" i="5" s="1"/>
  <c r="E37" i="5"/>
  <c r="I45" i="5"/>
  <c r="I44" i="5"/>
  <c r="T38" i="5" l="1"/>
  <c r="T45" i="5"/>
  <c r="J37" i="5"/>
  <c r="Q44" i="5"/>
  <c r="J38" i="5"/>
  <c r="M19" i="5" s="1"/>
  <c r="Q45" i="5"/>
  <c r="G37" i="5"/>
  <c r="G38" i="5"/>
  <c r="G39" i="5" l="1"/>
  <c r="M4" i="5" s="1"/>
  <c r="M16" i="5"/>
  <c r="M22" i="5" s="1"/>
  <c r="K38" i="5"/>
  <c r="J39" i="5"/>
  <c r="M7" i="5" s="1"/>
  <c r="K37" i="5"/>
  <c r="E20" i="5" l="1"/>
  <c r="M39" i="5"/>
  <c r="M40" i="5" s="1"/>
  <c r="K39" i="5"/>
  <c r="I39" i="5"/>
  <c r="G40" i="5"/>
  <c r="J45" i="5"/>
  <c r="J44" i="5"/>
  <c r="I52" i="5"/>
  <c r="J52" i="5" s="1"/>
  <c r="I51" i="5"/>
  <c r="J51" i="5" s="1"/>
  <c r="J46" i="5" l="1"/>
  <c r="J53" i="5"/>
  <c r="B53" i="5" l="1"/>
  <c r="I53" i="5" s="1"/>
  <c r="D52" i="5"/>
  <c r="B46" i="5"/>
  <c r="I46" i="5" s="1"/>
  <c r="D45" i="5"/>
  <c r="E45" i="5" s="1"/>
  <c r="F45" i="5"/>
  <c r="L45" i="5" s="1"/>
  <c r="M45" i="5" s="1"/>
  <c r="M10" i="5" l="1"/>
  <c r="Q52" i="5"/>
  <c r="G45" i="5"/>
  <c r="K45" i="5" l="1"/>
  <c r="Q51" i="5"/>
  <c r="E52" i="5"/>
  <c r="E51" i="5"/>
  <c r="E44" i="5"/>
  <c r="F52" i="5"/>
  <c r="L52" i="5" s="1"/>
  <c r="M52" i="5" s="1"/>
  <c r="F51" i="5"/>
  <c r="L51" i="5" s="1"/>
  <c r="M51" i="5" s="1"/>
  <c r="F44" i="5"/>
  <c r="L44" i="5" s="1"/>
  <c r="M44" i="5" s="1"/>
  <c r="G51" i="5" l="1"/>
  <c r="G52" i="5"/>
  <c r="G44" i="5"/>
  <c r="G46" i="5" s="1"/>
  <c r="G53" i="5" l="1"/>
  <c r="K44" i="5"/>
  <c r="K52" i="5"/>
  <c r="K51" i="5"/>
  <c r="K53" i="5"/>
  <c r="K46" i="5"/>
  <c r="G47" i="5" l="1"/>
  <c r="M46" i="5"/>
  <c r="M47" i="5" s="1"/>
  <c r="G54" i="5"/>
  <c r="M53" i="5"/>
  <c r="M54" i="5" s="1"/>
  <c r="S37" i="5" l="1"/>
  <c r="S38" i="5"/>
  <c r="U38" i="5" s="1"/>
  <c r="D29" i="5" s="1"/>
  <c r="S52" i="5" l="1"/>
  <c r="U52" i="5" s="1"/>
  <c r="V52" i="5" s="1"/>
  <c r="Y52" i="5" s="1"/>
  <c r="S44" i="5"/>
  <c r="S45" i="5"/>
  <c r="U45" i="5" s="1"/>
  <c r="V45" i="5" s="1"/>
  <c r="Y45" i="5" s="1"/>
  <c r="S51" i="5"/>
  <c r="V38" i="5"/>
  <c r="Y38" i="5" s="1"/>
  <c r="M20" i="5" l="1"/>
  <c r="U37" i="5" l="1"/>
  <c r="V37" i="5" s="1"/>
  <c r="Y37" i="5" l="1"/>
  <c r="D28" i="5"/>
  <c r="V39" i="5"/>
  <c r="Y39" i="5" s="1"/>
  <c r="C25" i="5" s="1"/>
  <c r="E25" i="5" s="1"/>
  <c r="N37" i="5" l="1"/>
  <c r="B28" i="5" s="1"/>
  <c r="B29" i="5" s="1"/>
  <c r="E29" i="5" s="1"/>
  <c r="E23" i="5"/>
  <c r="M8" i="5"/>
  <c r="M14" i="5" s="1"/>
  <c r="N44" i="5" l="1"/>
  <c r="P44" i="5" s="1"/>
  <c r="P37" i="5"/>
  <c r="W37" i="5" s="1"/>
  <c r="X37" i="5" s="1"/>
  <c r="Z37" i="5" s="1"/>
  <c r="N38" i="5"/>
  <c r="N45" i="5" s="1"/>
  <c r="N51" i="5"/>
  <c r="P51" i="5" s="1"/>
  <c r="E28" i="5"/>
  <c r="E30" i="5" s="1"/>
  <c r="D25" i="5"/>
  <c r="N52" i="5" l="1"/>
  <c r="O52" i="5" s="1"/>
  <c r="P52" i="5" s="1"/>
  <c r="W52" i="5" s="1"/>
  <c r="X52" i="5" s="1"/>
  <c r="Z52" i="5" s="1"/>
  <c r="O38" i="5"/>
  <c r="P38" i="5" s="1"/>
  <c r="W38" i="5" s="1"/>
  <c r="X38" i="5" s="1"/>
  <c r="Z38" i="5" s="1"/>
  <c r="O45" i="5"/>
  <c r="P45" i="5" s="1"/>
  <c r="W45" i="5" s="1"/>
  <c r="X45" i="5" s="1"/>
  <c r="Z45" i="5" s="1"/>
  <c r="U51" i="5"/>
  <c r="V51" i="5" s="1"/>
  <c r="Y51" i="5" s="1"/>
  <c r="U44" i="5"/>
  <c r="V44" i="5" s="1"/>
  <c r="Y44" i="5" s="1"/>
  <c r="X39" i="5" l="1"/>
  <c r="X40" i="5" s="1"/>
  <c r="M17" i="5"/>
  <c r="W39" i="5"/>
  <c r="W40" i="5" s="1"/>
  <c r="W44" i="5"/>
  <c r="V46" i="5"/>
  <c r="Y46" i="5" s="1"/>
  <c r="V53" i="5"/>
  <c r="Y53" i="5" s="1"/>
  <c r="W51" i="5"/>
  <c r="M23" i="5" l="1"/>
  <c r="M24" i="5" s="1"/>
  <c r="M18" i="5"/>
  <c r="Z39" i="5"/>
  <c r="M5" i="5"/>
  <c r="W46" i="5"/>
  <c r="W47" i="5" s="1"/>
  <c r="X44" i="5"/>
  <c r="X46" i="5" s="1"/>
  <c r="X47" i="5" s="1"/>
  <c r="M25" i="5" s="1"/>
  <c r="X51" i="5"/>
  <c r="X53" i="5" s="1"/>
  <c r="Z53" i="5" s="1"/>
  <c r="W53" i="5"/>
  <c r="W54" i="5" s="1"/>
  <c r="M11" i="5" l="1"/>
  <c r="M12" i="5" s="1"/>
  <c r="M6" i="5"/>
  <c r="M13" i="5" s="1"/>
  <c r="M15" i="5" s="1"/>
  <c r="Z44" i="5"/>
  <c r="Z51" i="5"/>
  <c r="X54" i="5"/>
  <c r="Z46" i="5"/>
  <c r="M26" i="5" l="1"/>
  <c r="M27" i="5" s="1"/>
</calcChain>
</file>

<file path=xl/sharedStrings.xml><?xml version="1.0" encoding="utf-8"?>
<sst xmlns="http://schemas.openxmlformats.org/spreadsheetml/2006/main" count="210" uniqueCount="124">
  <si>
    <t>Total</t>
  </si>
  <si>
    <t>Average</t>
  </si>
  <si>
    <t>Base</t>
  </si>
  <si>
    <t>Performance Funding</t>
  </si>
  <si>
    <t>Enrollment Funding</t>
  </si>
  <si>
    <t>#</t>
  </si>
  <si>
    <t>Per Student</t>
  </si>
  <si>
    <t>Weight</t>
  </si>
  <si>
    <t>District A--Low At Risk</t>
  </si>
  <si>
    <t>District B--High At Risk</t>
  </si>
  <si>
    <t>Taking
Alg.</t>
  </si>
  <si>
    <t>Per
Course</t>
  </si>
  <si>
    <t>Total
# Units</t>
  </si>
  <si>
    <t>Key Inputs</t>
  </si>
  <si>
    <t>Key Outputs</t>
  </si>
  <si>
    <t>Actual</t>
  </si>
  <si>
    <t>Units/
Course</t>
  </si>
  <si>
    <t>Incent.
Impact</t>
  </si>
  <si>
    <t>Units w/
Impact</t>
  </si>
  <si>
    <t xml:space="preserve"> All Students Taking Algebra I During One School Year</t>
  </si>
  <si>
    <t>All Students Statewide</t>
  </si>
  <si>
    <t>Performance Funding Modeling Tool</t>
  </si>
  <si>
    <t>Low</t>
  </si>
  <si>
    <t>High</t>
  </si>
  <si>
    <t>Medium</t>
  </si>
  <si>
    <t>Unadj. Impact</t>
  </si>
  <si>
    <t>Adj. Impact</t>
  </si>
  <si>
    <t>Unadj.</t>
  </si>
  <si>
    <t>Weights for Student Subgroups</t>
  </si>
  <si>
    <t>% of Overall Funding</t>
  </si>
  <si>
    <t>Base Course Funding Per Student for Algebra I</t>
  </si>
  <si>
    <t>Higher</t>
  </si>
  <si>
    <t>Potential Performance Funding Pool</t>
  </si>
  <si>
    <t>Is performance funding capped at available pool?</t>
  </si>
  <si>
    <t>Impact Adjusted for Weights</t>
  </si>
  <si>
    <t>Change in Funding--Investment</t>
  </si>
  <si>
    <t>Impact Based on % of Funding</t>
  </si>
  <si>
    <t>Explanations</t>
  </si>
  <si>
    <t>Total Enrollment Funding</t>
  </si>
  <si>
    <t>Total Performance Funding</t>
  </si>
  <si>
    <t>Enrollment</t>
  </si>
  <si>
    <r>
      <rPr>
        <b/>
        <sz val="11"/>
        <color theme="1"/>
        <rFont val="Calibri"/>
        <family val="2"/>
        <scheme val="minor"/>
      </rPr>
      <t xml:space="preserve">Total Enrollment Funding: </t>
    </r>
    <r>
      <rPr>
        <sz val="11"/>
        <color theme="1"/>
        <rFont val="Calibri"/>
        <family val="2"/>
        <scheme val="minor"/>
      </rPr>
      <t>This is how much districts are currently getting under enrollment funding, reflecting the numbers of students statewide taking the Algebra I end-of-course exams.</t>
    </r>
  </si>
  <si>
    <r>
      <rPr>
        <b/>
        <sz val="11"/>
        <color theme="1"/>
        <rFont val="Calibri"/>
        <family val="2"/>
        <scheme val="minor"/>
      </rPr>
      <t xml:space="preserve">Total Performance Funding: </t>
    </r>
    <r>
      <rPr>
        <sz val="11"/>
        <color theme="1"/>
        <rFont val="Calibri"/>
        <family val="2"/>
        <scheme val="minor"/>
      </rPr>
      <t>This shows total enrollment funding based on the various inputs selected.</t>
    </r>
  </si>
  <si>
    <t>Yes</t>
  </si>
  <si>
    <t>Likely Performance Funding</t>
  </si>
  <si>
    <t>Enroll.</t>
  </si>
  <si>
    <t>Funding</t>
  </si>
  <si>
    <t>Units</t>
  </si>
  <si>
    <t>On General Students</t>
  </si>
  <si>
    <t>General Students</t>
  </si>
  <si>
    <t>Unweighted FTE</t>
  </si>
  <si>
    <t>Base FEFP</t>
  </si>
  <si>
    <t>Class Size</t>
  </si>
  <si>
    <t>Per Unweighted</t>
  </si>
  <si>
    <t>As a general matter, cells that are highlighted yellow in the model are ones that policymakers can adjust based on their preferences and to gauge impact. Other cells are automatically calculated</t>
  </si>
  <si>
    <t xml:space="preserve">General Students </t>
  </si>
  <si>
    <t>Current Course Success Rates--Algebra I</t>
  </si>
  <si>
    <t>Success
Rate</t>
  </si>
  <si>
    <r>
      <rPr>
        <b/>
        <sz val="11"/>
        <color theme="1"/>
        <rFont val="Calibri"/>
        <family val="2"/>
        <scheme val="minor"/>
      </rPr>
      <t>Is performance funding capped at available pool?</t>
    </r>
    <r>
      <rPr>
        <sz val="11"/>
        <color theme="1"/>
        <rFont val="Calibri"/>
        <family val="2"/>
        <scheme val="minor"/>
      </rPr>
      <t xml:space="preserve"> If "Yes" is selected, then the funding per successful course is calculated based on the pool divided by the number of successful courses such that performance funding cannot exceed the available pool.</t>
    </r>
  </si>
  <si>
    <t>Course Successes--Performance</t>
  </si>
  <si>
    <t>Impact on # of Course Successes</t>
  </si>
  <si>
    <t>Course Successes Per $1 million--Enrollment</t>
  </si>
  <si>
    <t>Impact on Course Successes Per $1 million</t>
  </si>
  <si>
    <t>Change in Course Successes--Return</t>
  </si>
  <si>
    <t>Total # of Course Successes</t>
  </si>
  <si>
    <t>Course Successes</t>
  </si>
  <si>
    <t>Unit
Successes</t>
  </si>
  <si>
    <t>Per Course Success</t>
  </si>
  <si>
    <t>Total # Performance Units Per Course</t>
  </si>
  <si>
    <r>
      <rPr>
        <b/>
        <sz val="11"/>
        <color theme="1"/>
        <rFont val="Calibri"/>
        <family val="2"/>
        <scheme val="minor"/>
      </rPr>
      <t xml:space="preserve">Performance Funding: </t>
    </r>
    <r>
      <rPr>
        <sz val="11"/>
        <color theme="1"/>
        <rFont val="Calibri"/>
        <family val="2"/>
        <scheme val="minor"/>
      </rPr>
      <t xml:space="preserve">This is the percentage of overall funding allocated based on performance. There are three choices: low, medium and high. The remaining funds are allocated based on enrollment. The choice selected also changes the extent to which performance funding will impact student success, as explained below. </t>
    </r>
  </si>
  <si>
    <r>
      <rPr>
        <b/>
        <sz val="11"/>
        <color theme="1"/>
        <rFont val="Calibri"/>
        <family val="2"/>
        <scheme val="minor"/>
      </rPr>
      <t xml:space="preserve">Impact Based on % of Funding: </t>
    </r>
    <r>
      <rPr>
        <sz val="11"/>
        <color theme="1"/>
        <rFont val="Calibri"/>
        <family val="2"/>
        <scheme val="minor"/>
      </rPr>
      <t>This shows impact on student success because of performance funding. If a medium percent is allocated, the tool reflects impact on student success, for each student subgroup, based on research. If the percent is low, there is less impact on student success. If a high percent is selected, impact is increased for each student subgroup. If the adjusted impact is above 100 percent, it means that the student is not only succeeding in Algebra 1 but also with more advanced material.</t>
    </r>
  </si>
  <si>
    <r>
      <rPr>
        <b/>
        <sz val="11"/>
        <color theme="1"/>
        <rFont val="Calibri"/>
        <family val="2"/>
        <scheme val="minor"/>
      </rPr>
      <t>Total # Performance Units Per Course:</t>
    </r>
    <r>
      <rPr>
        <sz val="11"/>
        <color theme="1"/>
        <rFont val="Calibri"/>
        <family val="2"/>
        <scheme val="minor"/>
      </rPr>
      <t xml:space="preserve"> If performance is based on an entire course, there is 1 performance unit. If funding is based on units that make up a course, policymakers can enter a number higher than 1. If performance is based on percentage of assignments successfully completed, policymakers can enter 100.</t>
    </r>
  </si>
  <si>
    <t>Per Year Course</t>
  </si>
  <si>
    <t>Performance</t>
  </si>
  <si>
    <t>Florida Funding</t>
  </si>
  <si>
    <t>Course Successes Per $1 million--Performance</t>
  </si>
  <si>
    <t>What percent comes from enrollment funding vs. add-on?</t>
  </si>
  <si>
    <t>Capped</t>
  </si>
  <si>
    <r>
      <rPr>
        <b/>
        <sz val="11"/>
        <color theme="1"/>
        <rFont val="Calibri"/>
        <family val="2"/>
        <scheme val="minor"/>
      </rPr>
      <t xml:space="preserve">Performance Funding Per Course: </t>
    </r>
    <r>
      <rPr>
        <sz val="11"/>
        <color theme="1"/>
        <rFont val="Calibri"/>
        <family val="2"/>
        <scheme val="minor"/>
      </rPr>
      <t>Three choices are offered. "Base" is the same per course as provided through enrollment funding. "Capped" is based on available funds in the pool, as explained above. "Higher" is above the capped figure. After considering these three options, policymakers can enter an actual amount. However, if capped funding was selected above, the funding per course will remain at the capped amount.</t>
    </r>
  </si>
  <si>
    <t>Course Successes--Enrollment</t>
  </si>
  <si>
    <t>Courses Per $1m</t>
  </si>
  <si>
    <t>Overall Funding</t>
  </si>
  <si>
    <r>
      <rPr>
        <b/>
        <sz val="11"/>
        <color theme="1"/>
        <rFont val="Calibri"/>
        <family val="2"/>
        <scheme val="minor"/>
      </rPr>
      <t>Impact Adjusted for Weight:</t>
    </r>
    <r>
      <rPr>
        <sz val="11"/>
        <color theme="1"/>
        <rFont val="Calibri"/>
        <family val="2"/>
        <scheme val="minor"/>
      </rPr>
      <t xml:space="preserve"> If a medium weight is selected, the impact on student success remains unchanged from what was expected from the performance percentage selected. A low weight results in a downward adjustment, and a high weight produces a higher adjusted impact.</t>
    </r>
  </si>
  <si>
    <r>
      <rPr>
        <b/>
        <sz val="11"/>
        <color theme="1"/>
        <rFont val="Calibri"/>
        <family val="2"/>
        <scheme val="minor"/>
      </rPr>
      <t>What percent comes from enrollment funding vs. add-on?</t>
    </r>
    <r>
      <rPr>
        <sz val="11"/>
        <color theme="1"/>
        <rFont val="Calibri"/>
        <family val="2"/>
        <scheme val="minor"/>
      </rPr>
      <t xml:space="preserve"> This indicates how much of the performance funding comes out of the enrollment funding and how much is on top of that funding. 100 percent means it all comes out of enrollment funding. 0 percent means it is all on top of, or in addition to, the enrollment funding.</t>
    </r>
  </si>
  <si>
    <r>
      <rPr>
        <b/>
        <sz val="11"/>
        <color theme="1"/>
        <rFont val="Calibri"/>
        <family val="2"/>
        <scheme val="minor"/>
      </rPr>
      <t xml:space="preserve">Likely Performance Funding: </t>
    </r>
    <r>
      <rPr>
        <sz val="11"/>
        <color theme="1"/>
        <rFont val="Calibri"/>
        <family val="2"/>
        <scheme val="minor"/>
      </rPr>
      <t>These are the expected funding amounts per successful course for student subgroups, calculated from the funding per successful course, weights and student success rates, adjusted as explained above. Policymakers can adjust other variables to decrease differentials on how much funding student subgroups will likely produce per successful course.</t>
    </r>
  </si>
  <si>
    <r>
      <rPr>
        <b/>
        <sz val="11"/>
        <color theme="1"/>
        <rFont val="Calibri"/>
        <family val="2"/>
        <scheme val="minor"/>
      </rPr>
      <t>Impact on # of Successful Courses:</t>
    </r>
    <r>
      <rPr>
        <sz val="11"/>
        <color theme="1"/>
        <rFont val="Calibri"/>
        <family val="2"/>
        <scheme val="minor"/>
      </rPr>
      <t xml:space="preserve"> This shows the difference between the number of successful courses per $1 million in funding for enrollment and performance funding. </t>
    </r>
  </si>
  <si>
    <r>
      <rPr>
        <b/>
        <sz val="11"/>
        <color theme="1"/>
        <rFont val="Calibri"/>
        <family val="2"/>
        <scheme val="minor"/>
      </rPr>
      <t xml:space="preserve">Potential Performance Funding Pool: </t>
    </r>
    <r>
      <rPr>
        <sz val="11"/>
        <color theme="1"/>
        <rFont val="Calibri"/>
        <family val="2"/>
        <scheme val="minor"/>
      </rPr>
      <t>This reflects the percentage for performance funding selected, with enrollment funding as the denominator.</t>
    </r>
  </si>
  <si>
    <r>
      <rPr>
        <b/>
        <sz val="11"/>
        <color theme="1"/>
        <rFont val="Calibri"/>
        <family val="2"/>
        <scheme val="minor"/>
      </rPr>
      <t xml:space="preserve">Weights for Student Subgroups: </t>
    </r>
    <r>
      <rPr>
        <sz val="11"/>
        <color theme="1"/>
        <rFont val="Calibri"/>
        <family val="2"/>
        <scheme val="minor"/>
      </rPr>
      <t>This reflects additional funding per successful course for at-risk students. 1.00 means no additional funding; 1.22 means 22 percent additional funding. There are three choices: low, medium and high. The weight affects how much student success is expected to change, as explained below.</t>
    </r>
  </si>
  <si>
    <r>
      <rPr>
        <b/>
        <sz val="11"/>
        <color theme="1"/>
        <rFont val="Calibri"/>
        <family val="2"/>
        <scheme val="minor"/>
      </rPr>
      <t># Taking Alg.:</t>
    </r>
    <r>
      <rPr>
        <sz val="11"/>
        <color theme="1"/>
        <rFont val="Calibri"/>
        <family val="2"/>
        <scheme val="minor"/>
      </rPr>
      <t xml:space="preserve"> This is the number of students statewide who took the end-of-course Algebra I in the most recent school year, divided into general and at-risk students, as explained above. </t>
    </r>
  </si>
  <si>
    <r>
      <t>Existing Weight for At-Risk Students (1.00 = no extra):</t>
    </r>
    <r>
      <rPr>
        <sz val="11"/>
        <color theme="1"/>
        <rFont val="Calibri"/>
        <family val="2"/>
        <scheme val="minor"/>
      </rPr>
      <t xml:space="preserve"> This is the multiplier on the base districts currently get for at-risk students, which as a proxy means students who are economically disadvantaged. A weight of 1.00 means no extra funding. A weight of 2.00 would mean double funding. As Florida currently does not have a weight for at-risk students, it is set at 1.00.</t>
    </r>
  </si>
  <si>
    <t>Existing Weight for At-Risk Students (1.00 = no extra)</t>
  </si>
  <si>
    <t>At-Risk Students</t>
  </si>
  <si>
    <t>On At-Risk Students</t>
  </si>
  <si>
    <t>For At-Risk Students</t>
  </si>
  <si>
    <t xml:space="preserve">At-Risk Students </t>
  </si>
  <si>
    <t>Differential: General v. At-Risk Students</t>
  </si>
  <si>
    <t>Enrollment Funding--At-Risk Students</t>
  </si>
  <si>
    <t>Performance Funding--At-Risk Students</t>
  </si>
  <si>
    <t>Funding Impact--At-Risk Students</t>
  </si>
  <si>
    <t>Course Successes, At-Risk Students--Enrollment</t>
  </si>
  <si>
    <t>Course Successes, At-Risk Students--Performance</t>
  </si>
  <si>
    <t>Impact on Course Successes, At-Risk Students</t>
  </si>
  <si>
    <t>Impact on Successes Per $1 million, At-Risk Students</t>
  </si>
  <si>
    <t>Successes Per $1m, At-Risk Students--Enrollment</t>
  </si>
  <si>
    <t>Successes Per $1m, At-Risk Students--Perf.</t>
  </si>
  <si>
    <t>Base  Perf. 
$ Per Unit</t>
  </si>
  <si>
    <t>Total Enr.
Funding</t>
  </si>
  <si>
    <t>At-Risk
Weight</t>
  </si>
  <si>
    <t>Enroll. $
Per Course</t>
  </si>
  <si>
    <t>Total $
Per Unit</t>
  </si>
  <si>
    <t>Total Perf. Funding</t>
  </si>
  <si>
    <t>Total
Funding</t>
  </si>
  <si>
    <r>
      <rPr>
        <b/>
        <sz val="11"/>
        <color theme="1"/>
        <rFont val="Calibri"/>
        <family val="2"/>
        <scheme val="minor"/>
      </rPr>
      <t xml:space="preserve">Current Course Success Rates--Algebra I: </t>
    </r>
    <r>
      <rPr>
        <sz val="11"/>
        <color theme="1"/>
        <rFont val="Calibri"/>
        <family val="2"/>
        <scheme val="minor"/>
      </rPr>
      <t>These are the most passing rates for the 2017-18 school year on the end-of-course exam for Algebra I for two student subgroups. "General students" are those who are not at risk. "At-risk" students are economically disadvantaged or at risk of course failure based on prior performance, i.e., they are non-economically disadvantaged students who do not take the end-of-exam until high school. Source: Florida Department of Education’s PK-12 Education Information Portal: https://edstats.fldoe.org/SASPortal/main.do.</t>
    </r>
  </si>
  <si>
    <r>
      <t xml:space="preserve">Base Funding Per Student for Algebra I: </t>
    </r>
    <r>
      <rPr>
        <sz val="11"/>
        <color theme="1"/>
        <rFont val="Calibri"/>
        <family val="2"/>
        <scheme val="minor"/>
      </rPr>
      <t>This is the annual funding currently provided for students enrolled in this course in Florida, as calculated in the separate Current Funding tab. It is the "Base Florida Education Funding Program (FEFP)" plus class size funding divided by the number of unweighted full time equivalent (FTE) students. Discretionary local funding and state categorical programs are not included.</t>
    </r>
    <r>
      <rPr>
        <b/>
        <sz val="11"/>
        <color theme="1"/>
        <rFont val="Calibri"/>
        <family val="2"/>
        <scheme val="minor"/>
      </rPr>
      <t xml:space="preserve"> </t>
    </r>
    <r>
      <rPr>
        <sz val="11"/>
        <color theme="1"/>
        <rFont val="Calibri"/>
        <family val="2"/>
        <scheme val="minor"/>
      </rPr>
      <t>Source: http://www.fldoe.org/core/fileparse.php/7507/urlt/18191stCalculation.pdf.</t>
    </r>
  </si>
  <si>
    <r>
      <rPr>
        <b/>
        <sz val="11"/>
        <color theme="1"/>
        <rFont val="Calibri"/>
        <family val="2"/>
        <scheme val="minor"/>
      </rPr>
      <t>Return on Investment (ROI):</t>
    </r>
    <r>
      <rPr>
        <sz val="11"/>
        <color theme="1"/>
        <rFont val="Calibri"/>
        <family val="2"/>
        <scheme val="minor"/>
      </rPr>
      <t xml:space="preserve"> This shows the percent change in successful courses per $1 million as a multiplier of the change in funding. A 10 percent increase in successful courses per $1 million, with a 1 percent change in funding, produces an ROI of 10. If there is a drop of funding, the ROI says "Funding Drop" rather than show a negative ROI; it means improved student outcomes despite a drop in funding.</t>
    </r>
  </si>
  <si>
    <r>
      <rPr>
        <b/>
        <sz val="11"/>
        <color theme="1"/>
        <rFont val="Calibri"/>
        <family val="2"/>
        <scheme val="minor"/>
      </rPr>
      <t>Difference Between Districts:</t>
    </r>
    <r>
      <rPr>
        <sz val="11"/>
        <color theme="1"/>
        <rFont val="Calibri"/>
        <family val="2"/>
        <scheme val="minor"/>
      </rPr>
      <t xml:space="preserve"> This shows the difference in funding between enrollment and performance funding for two hypothetical districts, one which has a high proportion of at-risk students and another which has a low proportion of at-risk students.</t>
    </r>
  </si>
  <si>
    <r>
      <rPr>
        <b/>
        <sz val="11"/>
        <color theme="1"/>
        <rFont val="Calibri"/>
        <family val="2"/>
        <scheme val="minor"/>
      </rPr>
      <t xml:space="preserve">Margin of Error, Successful Courses: </t>
    </r>
    <r>
      <rPr>
        <sz val="11"/>
        <color theme="1"/>
        <rFont val="Calibri"/>
        <family val="2"/>
        <scheme val="minor"/>
      </rPr>
      <t>This allows policymakers to examine funding if students succeed in a higher than anticipated number of courses. For example, 20 percent will increase success rates by 20 percent for each of the student subgroups.</t>
    </r>
  </si>
  <si>
    <t>Margin of Error, Successful Courses</t>
  </si>
  <si>
    <t>Cost Per Additional Course Success</t>
  </si>
  <si>
    <t>Funding Impact Per Course</t>
  </si>
  <si>
    <t>Perf. Funding Per Student for District w/ Low At-Risk</t>
  </si>
  <si>
    <t>Perf. Funding Per Student for District w/ High At-Risk</t>
  </si>
  <si>
    <t>Difference Between Low &amp; High At Risk Districts</t>
  </si>
  <si>
    <t>General Students (Not At-Risk)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</si>
</sst>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_(&quot;$&quot;* #,##0_);_(&quot;$&quot;* \(#,##0\);_(&quot;$&quot;* &quot;-&quot;??_);_(@_)"/>
    <numFmt numFmtId="166" formatCode="&quot;$&quot;#,##0.00"/>
    <numFmt numFmtId="167" formatCode="0.0%"/>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00B0F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right style="medium">
        <color auto="1"/>
      </right>
      <top style="thin">
        <color auto="1"/>
      </top>
      <bottom style="thin">
        <color auto="1"/>
      </bottom>
      <diagonal/>
    </border>
    <border>
      <left/>
      <right/>
      <top/>
      <bottom style="medium">
        <color auto="1"/>
      </bottom>
      <diagonal/>
    </border>
    <border>
      <left/>
      <right/>
      <top style="medium">
        <color indexed="64"/>
      </top>
      <bottom/>
      <diagonal/>
    </border>
    <border>
      <left style="medium">
        <color indexed="64"/>
      </left>
      <right/>
      <top style="medium">
        <color indexed="64"/>
      </top>
      <bottom/>
      <diagonal/>
    </border>
    <border>
      <left style="thin">
        <color auto="1"/>
      </left>
      <right/>
      <top/>
      <bottom/>
      <diagonal/>
    </border>
    <border>
      <left/>
      <right style="medium">
        <color auto="1"/>
      </right>
      <top style="medium">
        <color auto="1"/>
      </top>
      <bottom style="medium">
        <color auto="1"/>
      </bottom>
      <diagonal/>
    </border>
    <border>
      <left/>
      <right/>
      <top style="thin">
        <color auto="1"/>
      </top>
      <bottom/>
      <diagonal/>
    </border>
    <border>
      <left style="thin">
        <color auto="1"/>
      </left>
      <right style="thin">
        <color auto="1"/>
      </right>
      <top/>
      <bottom/>
      <diagonal/>
    </border>
    <border>
      <left/>
      <right/>
      <top style="medium">
        <color indexed="64"/>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ck">
        <color auto="1"/>
      </top>
      <bottom style="thin">
        <color auto="1"/>
      </bottom>
      <diagonal/>
    </border>
    <border>
      <left/>
      <right/>
      <top style="thick">
        <color auto="1"/>
      </top>
      <bottom style="thin">
        <color auto="1"/>
      </bottom>
      <diagonal/>
    </border>
    <border>
      <left style="thin">
        <color auto="1"/>
      </left>
      <right style="thin">
        <color auto="1"/>
      </right>
      <top style="thick">
        <color auto="1"/>
      </top>
      <bottom style="thin">
        <color auto="1"/>
      </bottom>
      <diagonal/>
    </border>
    <border>
      <left/>
      <right style="thin">
        <color auto="1"/>
      </right>
      <top style="thin">
        <color auto="1"/>
      </top>
      <bottom style="thick">
        <color auto="1"/>
      </bottom>
      <diagonal/>
    </border>
    <border>
      <left/>
      <right style="thin">
        <color auto="1"/>
      </right>
      <top style="thick">
        <color auto="1"/>
      </top>
      <bottom style="thin">
        <color auto="1"/>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267">
    <xf numFmtId="0" fontId="0" fillId="0" borderId="0" xfId="0"/>
    <xf numFmtId="0" fontId="1" fillId="0" borderId="0" xfId="0" applyFont="1"/>
    <xf numFmtId="164" fontId="0" fillId="0" borderId="1" xfId="0" applyNumberFormat="1" applyBorder="1"/>
    <xf numFmtId="0" fontId="1" fillId="0" borderId="1" xfId="0" applyFont="1" applyBorder="1" applyAlignment="1">
      <alignment horizontal="left"/>
    </xf>
    <xf numFmtId="0" fontId="1" fillId="3" borderId="1" xfId="0" applyFont="1" applyFill="1" applyBorder="1"/>
    <xf numFmtId="164" fontId="1" fillId="3" borderId="1" xfId="0" applyNumberFormat="1" applyFont="1" applyFill="1" applyBorder="1"/>
    <xf numFmtId="0" fontId="1" fillId="3" borderId="5" xfId="0" applyFont="1" applyFill="1" applyBorder="1"/>
    <xf numFmtId="0" fontId="1" fillId="3" borderId="2" xfId="0" applyFont="1" applyFill="1" applyBorder="1"/>
    <xf numFmtId="1" fontId="1" fillId="3" borderId="1" xfId="0" applyNumberFormat="1" applyFont="1" applyFill="1" applyBorder="1"/>
    <xf numFmtId="164" fontId="1" fillId="3" borderId="9" xfId="0" applyNumberFormat="1" applyFont="1" applyFill="1" applyBorder="1"/>
    <xf numFmtId="0" fontId="1" fillId="3" borderId="0" xfId="0" applyFont="1" applyFill="1"/>
    <xf numFmtId="0" fontId="0" fillId="3" borderId="0" xfId="0" applyFill="1"/>
    <xf numFmtId="164" fontId="0" fillId="0" borderId="2" xfId="0" applyNumberFormat="1" applyFill="1" applyBorder="1"/>
    <xf numFmtId="3" fontId="1" fillId="3" borderId="1" xfId="0" applyNumberFormat="1" applyFont="1" applyFill="1" applyBorder="1"/>
    <xf numFmtId="2" fontId="1" fillId="3" borderId="9" xfId="0" applyNumberFormat="1" applyFont="1" applyFill="1" applyBorder="1"/>
    <xf numFmtId="164" fontId="0" fillId="0" borderId="2" xfId="0" applyNumberFormat="1" applyFont="1" applyFill="1" applyBorder="1" applyAlignment="1">
      <alignment horizontal="right"/>
    </xf>
    <xf numFmtId="164" fontId="1" fillId="3" borderId="10" xfId="0" applyNumberFormat="1" applyFont="1" applyFill="1" applyBorder="1"/>
    <xf numFmtId="2" fontId="0" fillId="0" borderId="9" xfId="0" applyNumberFormat="1" applyFill="1" applyBorder="1"/>
    <xf numFmtId="0" fontId="0" fillId="0" borderId="0" xfId="0" applyBorder="1" applyAlignment="1"/>
    <xf numFmtId="0" fontId="0" fillId="0" borderId="8" xfId="0" applyFill="1" applyBorder="1"/>
    <xf numFmtId="0" fontId="0" fillId="0" borderId="6" xfId="0" applyBorder="1" applyAlignment="1">
      <alignment horizontal="right"/>
    </xf>
    <xf numFmtId="0" fontId="0" fillId="0" borderId="0" xfId="0" applyAlignment="1">
      <alignment horizontal="right"/>
    </xf>
    <xf numFmtId="0" fontId="1" fillId="0" borderId="1" xfId="0" applyFont="1" applyBorder="1"/>
    <xf numFmtId="0" fontId="1" fillId="3" borderId="15" xfId="0" applyFont="1" applyFill="1" applyBorder="1" applyAlignment="1">
      <alignment horizontal="center"/>
    </xf>
    <xf numFmtId="164" fontId="1" fillId="3" borderId="3" xfId="0" applyNumberFormat="1" applyFont="1" applyFill="1" applyBorder="1"/>
    <xf numFmtId="164" fontId="0" fillId="0" borderId="1" xfId="0" applyNumberFormat="1" applyFill="1" applyBorder="1"/>
    <xf numFmtId="9" fontId="0" fillId="0" borderId="2" xfId="0" applyNumberFormat="1" applyFont="1" applyFill="1" applyBorder="1" applyAlignment="1">
      <alignment horizontal="right"/>
    </xf>
    <xf numFmtId="0" fontId="1" fillId="3" borderId="3" xfId="0" applyFont="1" applyFill="1" applyBorder="1"/>
    <xf numFmtId="3" fontId="1" fillId="3" borderId="2" xfId="0" applyNumberFormat="1" applyFont="1" applyFill="1" applyBorder="1" applyAlignment="1">
      <alignment horizontal="right"/>
    </xf>
    <xf numFmtId="3" fontId="0" fillId="0" borderId="0" xfId="0" applyNumberFormat="1" applyAlignment="1">
      <alignment horizontal="right"/>
    </xf>
    <xf numFmtId="3" fontId="1" fillId="3" borderId="15" xfId="0" applyNumberFormat="1" applyFont="1" applyFill="1" applyBorder="1" applyAlignment="1">
      <alignment horizontal="center"/>
    </xf>
    <xf numFmtId="2" fontId="0" fillId="0" borderId="1" xfId="0" applyNumberFormat="1" applyFill="1" applyBorder="1"/>
    <xf numFmtId="2" fontId="0" fillId="0" borderId="2" xfId="0" applyNumberFormat="1" applyFill="1" applyBorder="1"/>
    <xf numFmtId="0" fontId="1" fillId="0" borderId="0" xfId="0" applyFont="1" applyFill="1" applyBorder="1" applyAlignment="1">
      <alignment wrapText="1"/>
    </xf>
    <xf numFmtId="0" fontId="1" fillId="3" borderId="9" xfId="0" applyFont="1" applyFill="1" applyBorder="1"/>
    <xf numFmtId="164" fontId="0" fillId="0" borderId="9" xfId="0" applyNumberFormat="1" applyFill="1" applyBorder="1"/>
    <xf numFmtId="3" fontId="1" fillId="3" borderId="10" xfId="0" applyNumberFormat="1" applyFont="1" applyFill="1" applyBorder="1" applyAlignment="1">
      <alignment horizontal="right"/>
    </xf>
    <xf numFmtId="164" fontId="0" fillId="0" borderId="0" xfId="0" applyNumberFormat="1"/>
    <xf numFmtId="165" fontId="1" fillId="5" borderId="1" xfId="1" applyNumberFormat="1" applyFont="1" applyFill="1" applyBorder="1"/>
    <xf numFmtId="9" fontId="0" fillId="0" borderId="2" xfId="0" applyNumberFormat="1" applyFill="1" applyBorder="1"/>
    <xf numFmtId="3" fontId="1" fillId="3" borderId="2" xfId="0" applyNumberFormat="1" applyFont="1" applyFill="1" applyBorder="1"/>
    <xf numFmtId="3" fontId="0" fillId="0" borderId="0" xfId="0" applyNumberFormat="1"/>
    <xf numFmtId="3" fontId="0" fillId="0" borderId="2" xfId="0" applyNumberFormat="1" applyFill="1" applyBorder="1"/>
    <xf numFmtId="3" fontId="1" fillId="3" borderId="2" xfId="2" applyNumberFormat="1" applyFont="1" applyFill="1" applyBorder="1"/>
    <xf numFmtId="9" fontId="1" fillId="3" borderId="1" xfId="0" applyNumberFormat="1" applyFont="1" applyFill="1" applyBorder="1"/>
    <xf numFmtId="3" fontId="0" fillId="0" borderId="1" xfId="0" applyNumberFormat="1" applyFont="1" applyBorder="1" applyAlignment="1">
      <alignment horizontal="right"/>
    </xf>
    <xf numFmtId="4" fontId="0" fillId="0" borderId="2" xfId="0" applyNumberFormat="1" applyFill="1" applyBorder="1"/>
    <xf numFmtId="3" fontId="1" fillId="0" borderId="0" xfId="0" applyNumberFormat="1" applyFont="1" applyFill="1" applyBorder="1" applyAlignment="1">
      <alignment wrapText="1"/>
    </xf>
    <xf numFmtId="3" fontId="0" fillId="0" borderId="0" xfId="0" applyNumberFormat="1" applyBorder="1" applyAlignment="1"/>
    <xf numFmtId="3" fontId="1" fillId="5" borderId="1" xfId="1" applyNumberFormat="1" applyFont="1" applyFill="1" applyBorder="1"/>
    <xf numFmtId="164" fontId="1" fillId="0" borderId="0" xfId="0" applyNumberFormat="1" applyFont="1" applyFill="1" applyBorder="1" applyAlignment="1">
      <alignment wrapText="1"/>
    </xf>
    <xf numFmtId="164" fontId="0" fillId="0" borderId="0" xfId="0" applyNumberFormat="1" applyBorder="1" applyAlignment="1"/>
    <xf numFmtId="3" fontId="0" fillId="0" borderId="7" xfId="0" applyNumberFormat="1" applyBorder="1"/>
    <xf numFmtId="0" fontId="1" fillId="3" borderId="7" xfId="0" applyFont="1" applyFill="1" applyBorder="1" applyAlignment="1">
      <alignment horizontal="center" wrapText="1"/>
    </xf>
    <xf numFmtId="164" fontId="1" fillId="0" borderId="0" xfId="0" applyNumberFormat="1" applyFont="1" applyFill="1" applyBorder="1"/>
    <xf numFmtId="1" fontId="1" fillId="0" borderId="0" xfId="0" applyNumberFormat="1" applyFont="1" applyFill="1" applyBorder="1"/>
    <xf numFmtId="1" fontId="0" fillId="0" borderId="0" xfId="0" applyNumberFormat="1"/>
    <xf numFmtId="1" fontId="0" fillId="0" borderId="0" xfId="0" applyNumberFormat="1" applyBorder="1" applyAlignment="1"/>
    <xf numFmtId="1" fontId="0" fillId="0" borderId="2" xfId="0" applyNumberFormat="1" applyFont="1" applyFill="1" applyBorder="1" applyAlignment="1">
      <alignment horizontal="right"/>
    </xf>
    <xf numFmtId="1" fontId="1" fillId="3" borderId="2" xfId="0" applyNumberFormat="1" applyFont="1" applyFill="1" applyBorder="1"/>
    <xf numFmtId="9" fontId="0" fillId="0" borderId="0" xfId="0" applyNumberFormat="1"/>
    <xf numFmtId="9" fontId="0" fillId="0" borderId="0" xfId="0" applyNumberFormat="1" applyBorder="1" applyAlignment="1"/>
    <xf numFmtId="9" fontId="1" fillId="3" borderId="2" xfId="0" applyNumberFormat="1" applyFont="1" applyFill="1" applyBorder="1"/>
    <xf numFmtId="3" fontId="0" fillId="0" borderId="2" xfId="0" applyNumberFormat="1" applyFont="1" applyFill="1" applyBorder="1" applyAlignment="1">
      <alignment horizontal="right"/>
    </xf>
    <xf numFmtId="2" fontId="1" fillId="3" borderId="2" xfId="0" applyNumberFormat="1" applyFont="1" applyFill="1" applyBorder="1"/>
    <xf numFmtId="9" fontId="0" fillId="0" borderId="3" xfId="0" applyNumberFormat="1" applyFill="1" applyBorder="1"/>
    <xf numFmtId="9" fontId="1" fillId="3" borderId="4" xfId="0" applyNumberFormat="1" applyFont="1" applyFill="1" applyBorder="1"/>
    <xf numFmtId="9" fontId="1" fillId="3" borderId="4" xfId="2" applyFont="1" applyFill="1" applyBorder="1"/>
    <xf numFmtId="164" fontId="1" fillId="3" borderId="4" xfId="0" applyNumberFormat="1" applyFont="1" applyFill="1" applyBorder="1"/>
    <xf numFmtId="0" fontId="0" fillId="0" borderId="1" xfId="0" applyBorder="1"/>
    <xf numFmtId="0" fontId="0" fillId="0" borderId="0" xfId="0" applyFill="1" applyBorder="1" applyAlignment="1">
      <alignment horizontal="left"/>
    </xf>
    <xf numFmtId="164" fontId="1" fillId="0" borderId="20" xfId="0" applyNumberFormat="1" applyFont="1" applyFill="1" applyBorder="1"/>
    <xf numFmtId="0" fontId="0" fillId="0" borderId="0" xfId="0" applyBorder="1" applyAlignment="1">
      <alignment horizontal="left"/>
    </xf>
    <xf numFmtId="9" fontId="0" fillId="0" borderId="0" xfId="0" applyNumberFormat="1" applyBorder="1" applyAlignment="1">
      <alignment horizontal="left"/>
    </xf>
    <xf numFmtId="0" fontId="0" fillId="0" borderId="17" xfId="0" applyBorder="1"/>
    <xf numFmtId="0" fontId="0" fillId="0" borderId="0" xfId="0" applyBorder="1"/>
    <xf numFmtId="3" fontId="0" fillId="0" borderId="10" xfId="0" applyNumberFormat="1" applyFill="1" applyBorder="1"/>
    <xf numFmtId="3" fontId="1" fillId="3" borderId="10" xfId="0" applyNumberFormat="1" applyFont="1" applyFill="1" applyBorder="1"/>
    <xf numFmtId="0" fontId="0" fillId="0" borderId="0" xfId="0" applyAlignment="1">
      <alignment horizontal="left"/>
    </xf>
    <xf numFmtId="0" fontId="1" fillId="3" borderId="1" xfId="0" applyFont="1" applyFill="1" applyBorder="1" applyAlignment="1">
      <alignment horizontal="left"/>
    </xf>
    <xf numFmtId="2" fontId="1" fillId="3" borderId="1" xfId="0" applyNumberFormat="1" applyFont="1" applyFill="1" applyBorder="1" applyAlignment="1">
      <alignment horizontal="left"/>
    </xf>
    <xf numFmtId="4" fontId="0" fillId="0" borderId="1" xfId="0" applyNumberFormat="1" applyFill="1" applyBorder="1" applyAlignment="1">
      <alignment horizontal="right"/>
    </xf>
    <xf numFmtId="0" fontId="1" fillId="3" borderId="13" xfId="0" applyFont="1" applyFill="1" applyBorder="1" applyAlignment="1">
      <alignment horizontal="center"/>
    </xf>
    <xf numFmtId="0" fontId="1" fillId="3" borderId="7" xfId="0" applyFont="1" applyFill="1" applyBorder="1" applyAlignment="1">
      <alignment horizontal="center"/>
    </xf>
    <xf numFmtId="0" fontId="1" fillId="3" borderId="1" xfId="0" applyFont="1" applyFill="1" applyBorder="1" applyAlignment="1">
      <alignment horizontal="center" wrapText="1"/>
    </xf>
    <xf numFmtId="0" fontId="1" fillId="3" borderId="3" xfId="0" applyFont="1" applyFill="1" applyBorder="1" applyAlignment="1">
      <alignment horizontal="center" wrapText="1"/>
    </xf>
    <xf numFmtId="3" fontId="1" fillId="3" borderId="2" xfId="0" applyNumberFormat="1" applyFont="1" applyFill="1" applyBorder="1" applyAlignment="1">
      <alignment horizontal="center" wrapText="1"/>
    </xf>
    <xf numFmtId="0" fontId="1" fillId="3" borderId="10" xfId="0" applyFont="1" applyFill="1" applyBorder="1" applyAlignment="1">
      <alignment horizontal="center" wrapText="1"/>
    </xf>
    <xf numFmtId="0" fontId="1" fillId="3" borderId="2" xfId="0" applyFont="1" applyFill="1" applyBorder="1" applyAlignment="1">
      <alignment horizontal="center" wrapText="1"/>
    </xf>
    <xf numFmtId="1" fontId="1" fillId="3" borderId="7" xfId="0" applyNumberFormat="1" applyFont="1" applyFill="1" applyBorder="1" applyAlignment="1">
      <alignment horizontal="center" wrapText="1"/>
    </xf>
    <xf numFmtId="0" fontId="1" fillId="3" borderId="5" xfId="0" applyFont="1" applyFill="1" applyBorder="1" applyAlignment="1">
      <alignment horizontal="center" wrapText="1"/>
    </xf>
    <xf numFmtId="9" fontId="1" fillId="3" borderId="7" xfId="0" applyNumberFormat="1" applyFont="1" applyFill="1" applyBorder="1" applyAlignment="1">
      <alignment horizontal="center" wrapText="1"/>
    </xf>
    <xf numFmtId="3" fontId="1" fillId="3" borderId="7" xfId="0" applyNumberFormat="1" applyFont="1" applyFill="1" applyBorder="1" applyAlignment="1">
      <alignment horizontal="center" wrapText="1"/>
    </xf>
    <xf numFmtId="164" fontId="1" fillId="3" borderId="7" xfId="0" applyNumberFormat="1" applyFont="1" applyFill="1" applyBorder="1" applyAlignment="1">
      <alignment horizontal="center" wrapText="1"/>
    </xf>
    <xf numFmtId="9" fontId="0" fillId="7" borderId="1" xfId="0" applyNumberFormat="1" applyFont="1" applyFill="1" applyBorder="1" applyAlignment="1">
      <alignment horizontal="left"/>
    </xf>
    <xf numFmtId="9" fontId="0" fillId="8" borderId="1" xfId="0" applyNumberFormat="1" applyFont="1" applyFill="1" applyBorder="1" applyAlignment="1">
      <alignment horizontal="left"/>
    </xf>
    <xf numFmtId="2" fontId="0" fillId="8" borderId="1" xfId="0" applyNumberFormat="1" applyFont="1" applyFill="1" applyBorder="1" applyAlignment="1">
      <alignment horizontal="left"/>
    </xf>
    <xf numFmtId="9" fontId="0" fillId="9" borderId="1" xfId="0" applyNumberFormat="1" applyFont="1" applyFill="1" applyBorder="1" applyAlignment="1">
      <alignment horizontal="left"/>
    </xf>
    <xf numFmtId="2" fontId="0" fillId="7" borderId="1" xfId="0" applyNumberFormat="1" applyFont="1" applyFill="1" applyBorder="1" applyAlignment="1">
      <alignment horizontal="left"/>
    </xf>
    <xf numFmtId="2" fontId="0" fillId="9" borderId="1" xfId="0" applyNumberFormat="1" applyFont="1" applyFill="1" applyBorder="1" applyAlignment="1">
      <alignment horizontal="left"/>
    </xf>
    <xf numFmtId="164" fontId="0" fillId="9" borderId="1" xfId="0" applyNumberFormat="1" applyFont="1" applyFill="1" applyBorder="1" applyAlignment="1"/>
    <xf numFmtId="164" fontId="0" fillId="8" borderId="1" xfId="0" applyNumberFormat="1" applyFont="1" applyFill="1" applyBorder="1" applyAlignment="1"/>
    <xf numFmtId="164" fontId="0" fillId="7" borderId="1" xfId="0" applyNumberFormat="1" applyFont="1" applyFill="1" applyBorder="1" applyAlignment="1"/>
    <xf numFmtId="9" fontId="0" fillId="0" borderId="0" xfId="0" applyNumberFormat="1" applyFont="1"/>
    <xf numFmtId="2" fontId="0" fillId="0" borderId="0" xfId="0" applyNumberFormat="1" applyFont="1"/>
    <xf numFmtId="3" fontId="0" fillId="0" borderId="0" xfId="0" applyNumberFormat="1" applyFont="1"/>
    <xf numFmtId="164" fontId="0" fillId="0" borderId="0" xfId="0" applyNumberFormat="1" applyFont="1"/>
    <xf numFmtId="0" fontId="1" fillId="3" borderId="0" xfId="0" applyFont="1" applyFill="1" applyAlignment="1">
      <alignment horizontal="center" wrapText="1"/>
    </xf>
    <xf numFmtId="0" fontId="1" fillId="3" borderId="0" xfId="0" applyFont="1" applyFill="1" applyAlignment="1">
      <alignment horizontal="center"/>
    </xf>
    <xf numFmtId="164" fontId="1" fillId="0" borderId="0" xfId="0" applyNumberFormat="1" applyFont="1" applyFill="1" applyBorder="1" applyAlignment="1"/>
    <xf numFmtId="164" fontId="1" fillId="0" borderId="23" xfId="0" applyNumberFormat="1" applyFont="1" applyFill="1" applyBorder="1"/>
    <xf numFmtId="164" fontId="1" fillId="0" borderId="22" xfId="0" applyNumberFormat="1" applyFont="1" applyFill="1" applyBorder="1" applyAlignment="1"/>
    <xf numFmtId="9" fontId="0" fillId="0" borderId="0" xfId="0" applyNumberFormat="1" applyFont="1" applyFill="1" applyBorder="1" applyAlignment="1"/>
    <xf numFmtId="164" fontId="0" fillId="0" borderId="22" xfId="0" applyNumberFormat="1" applyFont="1" applyFill="1" applyBorder="1" applyAlignment="1"/>
    <xf numFmtId="9" fontId="0" fillId="0" borderId="0" xfId="0" applyNumberFormat="1" applyFont="1" applyFill="1" applyBorder="1" applyAlignment="1">
      <alignment wrapText="1"/>
    </xf>
    <xf numFmtId="0" fontId="0" fillId="0" borderId="0" xfId="0" applyAlignment="1">
      <alignment wrapText="1"/>
    </xf>
    <xf numFmtId="167" fontId="0" fillId="0" borderId="23" xfId="0" applyNumberFormat="1" applyFont="1" applyFill="1" applyBorder="1" applyAlignment="1">
      <alignment horizontal="center"/>
    </xf>
    <xf numFmtId="4" fontId="0" fillId="0" borderId="23" xfId="0" applyNumberFormat="1" applyFont="1" applyFill="1" applyBorder="1" applyAlignment="1">
      <alignment horizontal="center"/>
    </xf>
    <xf numFmtId="164" fontId="1" fillId="0" borderId="2" xfId="0" applyNumberFormat="1" applyFont="1" applyFill="1" applyBorder="1" applyAlignment="1"/>
    <xf numFmtId="164" fontId="0" fillId="0" borderId="1" xfId="0" applyNumberFormat="1" applyFont="1" applyFill="1" applyBorder="1" applyAlignment="1"/>
    <xf numFmtId="2" fontId="0" fillId="0" borderId="1" xfId="0" applyNumberFormat="1" applyFont="1" applyFill="1" applyBorder="1" applyAlignment="1"/>
    <xf numFmtId="0" fontId="0" fillId="0" borderId="0" xfId="0" applyBorder="1" applyAlignment="1">
      <alignment horizontal="right"/>
    </xf>
    <xf numFmtId="3" fontId="0" fillId="0" borderId="0" xfId="0" applyNumberFormat="1" applyBorder="1"/>
    <xf numFmtId="1" fontId="0" fillId="0" borderId="0" xfId="0" applyNumberFormat="1" applyBorder="1"/>
    <xf numFmtId="9" fontId="0" fillId="0" borderId="0" xfId="0" applyNumberFormat="1" applyBorder="1"/>
    <xf numFmtId="164" fontId="0" fillId="0" borderId="0" xfId="0" applyNumberFormat="1" applyBorder="1"/>
    <xf numFmtId="0" fontId="0" fillId="3" borderId="1" xfId="0" applyFill="1" applyBorder="1" applyAlignment="1">
      <alignment horizontal="left"/>
    </xf>
    <xf numFmtId="0" fontId="0" fillId="0" borderId="24" xfId="0" applyBorder="1"/>
    <xf numFmtId="3" fontId="0" fillId="0" borderId="24" xfId="0" applyNumberFormat="1" applyBorder="1"/>
    <xf numFmtId="0" fontId="1" fillId="0" borderId="1" xfId="0" applyFont="1" applyBorder="1" applyAlignment="1">
      <alignment wrapText="1"/>
    </xf>
    <xf numFmtId="0" fontId="0" fillId="0" borderId="1" xfId="0" applyBorder="1" applyAlignment="1">
      <alignment wrapText="1"/>
    </xf>
    <xf numFmtId="0" fontId="0" fillId="0" borderId="18" xfId="0" applyBorder="1"/>
    <xf numFmtId="164" fontId="1" fillId="0" borderId="20" xfId="0" applyNumberFormat="1" applyFont="1" applyFill="1" applyBorder="1" applyAlignment="1">
      <alignment horizontal="center"/>
    </xf>
    <xf numFmtId="0" fontId="0" fillId="0" borderId="1" xfId="0" applyBorder="1" applyAlignment="1">
      <alignment horizontal="left"/>
    </xf>
    <xf numFmtId="0" fontId="1" fillId="0" borderId="2" xfId="0" applyFont="1" applyBorder="1" applyAlignment="1">
      <alignment horizontal="left"/>
    </xf>
    <xf numFmtId="0" fontId="1" fillId="3" borderId="2" xfId="0" applyFont="1" applyFill="1" applyBorder="1" applyAlignment="1">
      <alignment horizontal="left"/>
    </xf>
    <xf numFmtId="0" fontId="1" fillId="6" borderId="2" xfId="0" applyFont="1" applyFill="1" applyBorder="1" applyAlignment="1">
      <alignment horizontal="left"/>
    </xf>
    <xf numFmtId="0" fontId="1" fillId="3" borderId="1" xfId="0" applyFont="1" applyFill="1" applyBorder="1" applyAlignment="1"/>
    <xf numFmtId="166" fontId="1" fillId="0" borderId="1" xfId="0" applyNumberFormat="1" applyFont="1" applyFill="1" applyBorder="1" applyAlignment="1"/>
    <xf numFmtId="0" fontId="0" fillId="0" borderId="0" xfId="0" applyFill="1" applyBorder="1" applyAlignment="1"/>
    <xf numFmtId="4" fontId="0" fillId="0" borderId="0" xfId="0" applyNumberFormat="1" applyFill="1" applyBorder="1" applyAlignment="1"/>
    <xf numFmtId="164" fontId="0" fillId="0" borderId="0" xfId="0" applyNumberFormat="1" applyFill="1" applyBorder="1" applyAlignment="1"/>
    <xf numFmtId="164" fontId="0" fillId="0" borderId="0" xfId="0" applyNumberFormat="1" applyFont="1" applyFill="1" applyBorder="1" applyAlignment="1"/>
    <xf numFmtId="9" fontId="0" fillId="2" borderId="5" xfId="0" applyNumberFormat="1" applyFont="1" applyFill="1" applyBorder="1" applyAlignment="1">
      <alignment horizontal="center" wrapText="1"/>
    </xf>
    <xf numFmtId="3" fontId="0" fillId="0" borderId="0" xfId="0" applyNumberFormat="1" applyFont="1" applyBorder="1"/>
    <xf numFmtId="164" fontId="0" fillId="0" borderId="0" xfId="0" applyNumberFormat="1" applyFont="1" applyBorder="1"/>
    <xf numFmtId="3" fontId="1" fillId="3" borderId="0" xfId="0" applyNumberFormat="1" applyFont="1" applyFill="1" applyBorder="1"/>
    <xf numFmtId="164" fontId="1" fillId="3" borderId="0" xfId="0" applyNumberFormat="1" applyFont="1" applyFill="1" applyBorder="1"/>
    <xf numFmtId="0" fontId="1" fillId="3" borderId="0" xfId="0" applyFont="1" applyFill="1" applyBorder="1"/>
    <xf numFmtId="0" fontId="0" fillId="3" borderId="0" xfId="0" applyFill="1" applyBorder="1"/>
    <xf numFmtId="3" fontId="1" fillId="3" borderId="9" xfId="0" applyNumberFormat="1" applyFont="1" applyFill="1" applyBorder="1"/>
    <xf numFmtId="0" fontId="1" fillId="3" borderId="9" xfId="0" applyFont="1" applyFill="1" applyBorder="1" applyAlignment="1">
      <alignment horizontal="center" wrapText="1"/>
    </xf>
    <xf numFmtId="164" fontId="1" fillId="0" borderId="23" xfId="0" applyNumberFormat="1" applyFont="1" applyFill="1" applyBorder="1" applyAlignment="1">
      <alignment horizontal="center"/>
    </xf>
    <xf numFmtId="164" fontId="0" fillId="0" borderId="1" xfId="0" applyNumberFormat="1" applyBorder="1" applyAlignment="1">
      <alignment horizontal="center"/>
    </xf>
    <xf numFmtId="0" fontId="0" fillId="0" borderId="3" xfId="0" applyBorder="1"/>
    <xf numFmtId="164"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4" fontId="0" fillId="10" borderId="1" xfId="0" applyNumberFormat="1" applyFont="1" applyFill="1" applyBorder="1" applyAlignment="1">
      <alignment horizontal="center"/>
    </xf>
    <xf numFmtId="164" fontId="0" fillId="11" borderId="1" xfId="0" applyNumberFormat="1" applyFont="1" applyFill="1" applyBorder="1" applyAlignment="1">
      <alignment horizontal="center"/>
    </xf>
    <xf numFmtId="3" fontId="0" fillId="11" borderId="1" xfId="0" applyNumberFormat="1" applyFont="1" applyFill="1" applyBorder="1" applyAlignment="1">
      <alignment horizontal="center"/>
    </xf>
    <xf numFmtId="167" fontId="0" fillId="11" borderId="1" xfId="0" applyNumberFormat="1" applyFont="1" applyFill="1" applyBorder="1" applyAlignment="1">
      <alignment horizontal="center"/>
    </xf>
    <xf numFmtId="167" fontId="0" fillId="10" borderId="1" xfId="0" applyNumberFormat="1" applyFont="1" applyFill="1" applyBorder="1" applyAlignment="1">
      <alignment horizontal="center"/>
    </xf>
    <xf numFmtId="0" fontId="1" fillId="3" borderId="30" xfId="0" applyFont="1" applyFill="1" applyBorder="1" applyAlignment="1">
      <alignment horizontal="left"/>
    </xf>
    <xf numFmtId="0" fontId="1" fillId="3" borderId="32" xfId="0" applyFont="1" applyFill="1" applyBorder="1" applyAlignment="1">
      <alignment horizontal="left"/>
    </xf>
    <xf numFmtId="0" fontId="1" fillId="6" borderId="27" xfId="0" applyFont="1" applyFill="1" applyBorder="1" applyAlignment="1">
      <alignment horizontal="left"/>
    </xf>
    <xf numFmtId="9" fontId="0" fillId="9" borderId="29" xfId="0" applyNumberFormat="1" applyFont="1" applyFill="1" applyBorder="1" applyAlignment="1">
      <alignment horizontal="left"/>
    </xf>
    <xf numFmtId="9" fontId="0" fillId="8" borderId="29" xfId="0" applyNumberFormat="1" applyFont="1" applyFill="1" applyBorder="1" applyAlignment="1">
      <alignment horizontal="left"/>
    </xf>
    <xf numFmtId="9" fontId="0" fillId="7" borderId="29" xfId="0" applyNumberFormat="1" applyFont="1" applyFill="1" applyBorder="1" applyAlignment="1">
      <alignment horizontal="left"/>
    </xf>
    <xf numFmtId="0" fontId="1" fillId="6" borderId="28" xfId="0" applyFont="1" applyFill="1" applyBorder="1" applyAlignment="1">
      <alignment horizontal="left"/>
    </xf>
    <xf numFmtId="0" fontId="1" fillId="6" borderId="33" xfId="0" applyFont="1" applyFill="1" applyBorder="1" applyAlignment="1">
      <alignment horizontal="left"/>
    </xf>
    <xf numFmtId="164" fontId="0" fillId="11" borderId="29" xfId="0" applyNumberFormat="1" applyFont="1" applyFill="1" applyBorder="1" applyAlignment="1">
      <alignment horizontal="center"/>
    </xf>
    <xf numFmtId="164" fontId="0" fillId="6" borderId="32" xfId="0" applyNumberFormat="1" applyFont="1" applyFill="1" applyBorder="1" applyAlignment="1">
      <alignment horizontal="center"/>
    </xf>
    <xf numFmtId="3" fontId="0" fillId="10" borderId="1" xfId="0" applyNumberFormat="1" applyFont="1" applyFill="1" applyBorder="1" applyAlignment="1">
      <alignment horizontal="center"/>
    </xf>
    <xf numFmtId="164" fontId="1" fillId="3" borderId="2" xfId="0" applyNumberFormat="1" applyFont="1" applyFill="1" applyBorder="1" applyAlignment="1">
      <alignment horizontal="right"/>
    </xf>
    <xf numFmtId="164" fontId="1" fillId="3" borderId="4" xfId="0" applyNumberFormat="1" applyFont="1" applyFill="1" applyBorder="1" applyAlignment="1">
      <alignment horizontal="right"/>
    </xf>
    <xf numFmtId="164" fontId="0" fillId="0" borderId="2" xfId="0" applyNumberFormat="1" applyFill="1" applyBorder="1" applyAlignment="1">
      <alignment horizontal="right"/>
    </xf>
    <xf numFmtId="164" fontId="0" fillId="0" borderId="4" xfId="0" applyNumberFormat="1" applyFill="1" applyBorder="1" applyAlignment="1">
      <alignment horizontal="right"/>
    </xf>
    <xf numFmtId="164" fontId="1" fillId="5" borderId="2" xfId="0" applyNumberFormat="1" applyFont="1" applyFill="1" applyBorder="1" applyAlignment="1">
      <alignment horizontal="right"/>
    </xf>
    <xf numFmtId="164" fontId="1" fillId="5" borderId="4" xfId="0" applyNumberFormat="1" applyFont="1" applyFill="1" applyBorder="1" applyAlignment="1">
      <alignment horizontal="right"/>
    </xf>
    <xf numFmtId="0" fontId="1" fillId="3" borderId="2" xfId="0" applyFont="1" applyFill="1" applyBorder="1" applyAlignment="1">
      <alignment horizontal="center" wrapText="1"/>
    </xf>
    <xf numFmtId="0" fontId="1" fillId="3" borderId="4" xfId="0" applyFont="1" applyFill="1" applyBorder="1" applyAlignment="1">
      <alignment horizontal="center"/>
    </xf>
    <xf numFmtId="0" fontId="0" fillId="0" borderId="3" xfId="0" applyBorder="1" applyAlignment="1">
      <alignment horizontal="center"/>
    </xf>
    <xf numFmtId="0" fontId="1" fillId="3" borderId="14" xfId="0" applyFont="1" applyFill="1" applyBorder="1" applyAlignment="1">
      <alignment horizontal="center"/>
    </xf>
    <xf numFmtId="0" fontId="1" fillId="3" borderId="3" xfId="0" applyFont="1" applyFill="1" applyBorder="1" applyAlignment="1">
      <alignment horizontal="center"/>
    </xf>
    <xf numFmtId="0" fontId="1" fillId="3" borderId="16" xfId="0" applyFont="1" applyFill="1" applyBorder="1" applyAlignment="1">
      <alignment horizontal="center"/>
    </xf>
    <xf numFmtId="1" fontId="1" fillId="3" borderId="30" xfId="0" applyNumberFormat="1" applyFont="1" applyFill="1" applyBorder="1" applyAlignment="1">
      <alignment horizontal="center"/>
    </xf>
    <xf numFmtId="1" fontId="1" fillId="3" borderId="34" xfId="0" applyNumberFormat="1" applyFont="1" applyFill="1" applyBorder="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164" fontId="0" fillId="0" borderId="2" xfId="0" applyNumberFormat="1" applyFill="1" applyBorder="1" applyAlignment="1">
      <alignment horizontal="center"/>
    </xf>
    <xf numFmtId="164" fontId="0" fillId="0" borderId="4" xfId="0" applyNumberFormat="1" applyFill="1" applyBorder="1" applyAlignment="1">
      <alignment horizontal="center"/>
    </xf>
    <xf numFmtId="164" fontId="1" fillId="0" borderId="2" xfId="0" applyNumberFormat="1" applyFont="1" applyFill="1" applyBorder="1" applyAlignment="1">
      <alignment horizontal="left"/>
    </xf>
    <xf numFmtId="164" fontId="1" fillId="0" borderId="3" xfId="0" applyNumberFormat="1" applyFont="1" applyFill="1" applyBorder="1" applyAlignment="1">
      <alignment horizontal="left"/>
    </xf>
    <xf numFmtId="164" fontId="1" fillId="0" borderId="4" xfId="0" applyNumberFormat="1" applyFont="1" applyFill="1" applyBorder="1" applyAlignment="1">
      <alignment horizontal="left"/>
    </xf>
    <xf numFmtId="164" fontId="1" fillId="3" borderId="2" xfId="0" applyNumberFormat="1" applyFont="1" applyFill="1" applyBorder="1" applyAlignment="1">
      <alignment horizontal="left"/>
    </xf>
    <xf numFmtId="164" fontId="1" fillId="3" borderId="3" xfId="0" applyNumberFormat="1" applyFont="1" applyFill="1" applyBorder="1" applyAlignment="1">
      <alignment horizontal="left"/>
    </xf>
    <xf numFmtId="164" fontId="1" fillId="3" borderId="27" xfId="0" applyNumberFormat="1" applyFont="1" applyFill="1" applyBorder="1" applyAlignment="1">
      <alignment horizontal="left"/>
    </xf>
    <xf numFmtId="164" fontId="1" fillId="3" borderId="28" xfId="0" applyNumberFormat="1" applyFont="1" applyFill="1" applyBorder="1" applyAlignment="1">
      <alignment horizontal="left"/>
    </xf>
    <xf numFmtId="164" fontId="1" fillId="0" borderId="30" xfId="0" applyNumberFormat="1" applyFont="1" applyFill="1" applyBorder="1" applyAlignment="1">
      <alignment horizontal="left"/>
    </xf>
    <xf numFmtId="164" fontId="1" fillId="0" borderId="31" xfId="0" applyNumberFormat="1" applyFont="1" applyFill="1" applyBorder="1" applyAlignment="1">
      <alignment horizontal="left"/>
    </xf>
    <xf numFmtId="1" fontId="0" fillId="2" borderId="27" xfId="0" applyNumberFormat="1" applyFill="1" applyBorder="1" applyAlignment="1">
      <alignment horizontal="center"/>
    </xf>
    <xf numFmtId="1" fontId="0" fillId="2" borderId="33" xfId="0" applyNumberFormat="1" applyFill="1" applyBorder="1" applyAlignment="1">
      <alignment horizontal="center"/>
    </xf>
    <xf numFmtId="3" fontId="0" fillId="0" borderId="2" xfId="0" applyNumberFormat="1" applyFill="1" applyBorder="1" applyAlignment="1">
      <alignment horizontal="center"/>
    </xf>
    <xf numFmtId="3" fontId="0" fillId="0" borderId="4" xfId="0" applyNumberForma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21" xfId="0" applyFont="1" applyFill="1" applyBorder="1" applyAlignment="1">
      <alignment horizontal="center"/>
    </xf>
    <xf numFmtId="167" fontId="0" fillId="0" borderId="2" xfId="0" applyNumberFormat="1" applyFont="1" applyFill="1" applyBorder="1" applyAlignment="1">
      <alignment horizontal="center"/>
    </xf>
    <xf numFmtId="167" fontId="0" fillId="0" borderId="4" xfId="0" applyNumberFormat="1" applyFont="1" applyFill="1" applyBorder="1" applyAlignment="1">
      <alignment horizontal="center"/>
    </xf>
    <xf numFmtId="9" fontId="1" fillId="3" borderId="30" xfId="0" applyNumberFormat="1" applyFont="1" applyFill="1" applyBorder="1" applyAlignment="1">
      <alignment horizontal="center"/>
    </xf>
    <xf numFmtId="9" fontId="1" fillId="3" borderId="34" xfId="0" applyNumberFormat="1" applyFont="1" applyFill="1" applyBorder="1" applyAlignment="1">
      <alignment horizontal="center"/>
    </xf>
    <xf numFmtId="164" fontId="0" fillId="0" borderId="7" xfId="0" applyNumberFormat="1" applyFill="1" applyBorder="1" applyAlignment="1">
      <alignment horizontal="center"/>
    </xf>
    <xf numFmtId="164" fontId="0" fillId="0" borderId="6" xfId="0" applyNumberFormat="1" applyFill="1" applyBorder="1" applyAlignment="1">
      <alignment horizontal="center"/>
    </xf>
    <xf numFmtId="4" fontId="0" fillId="0" borderId="2" xfId="0" applyNumberFormat="1" applyFill="1" applyBorder="1" applyAlignment="1">
      <alignment horizontal="center"/>
    </xf>
    <xf numFmtId="4" fontId="0" fillId="0" borderId="3" xfId="0" applyNumberFormat="1" applyFill="1" applyBorder="1" applyAlignment="1">
      <alignment horizontal="center"/>
    </xf>
    <xf numFmtId="0" fontId="1" fillId="3" borderId="30" xfId="0" applyFont="1" applyFill="1" applyBorder="1" applyAlignment="1">
      <alignment horizontal="left"/>
    </xf>
    <xf numFmtId="0" fontId="1" fillId="3" borderId="31" xfId="0" applyFont="1" applyFill="1" applyBorder="1" applyAlignment="1">
      <alignment horizontal="left"/>
    </xf>
    <xf numFmtId="0" fontId="1" fillId="3" borderId="34" xfId="0" applyFont="1" applyFill="1" applyBorder="1" applyAlignment="1">
      <alignment horizontal="left"/>
    </xf>
    <xf numFmtId="9" fontId="0" fillId="2" borderId="2" xfId="0" applyNumberFormat="1" applyFill="1" applyBorder="1" applyAlignment="1">
      <alignment horizontal="center"/>
    </xf>
    <xf numFmtId="9" fontId="0" fillId="2" borderId="4" xfId="0" applyNumberFormat="1" applyFill="1" applyBorder="1" applyAlignment="1">
      <alignment horizontal="center"/>
    </xf>
    <xf numFmtId="4" fontId="0" fillId="2" borderId="2" xfId="0" applyNumberFormat="1" applyFill="1" applyBorder="1" applyAlignment="1">
      <alignment horizontal="center"/>
    </xf>
    <xf numFmtId="4" fontId="0" fillId="2" borderId="4" xfId="0" applyNumberFormat="1" applyFill="1" applyBorder="1" applyAlignment="1">
      <alignment horizontal="center"/>
    </xf>
    <xf numFmtId="9" fontId="1" fillId="3" borderId="2" xfId="0" applyNumberFormat="1" applyFont="1" applyFill="1" applyBorder="1" applyAlignment="1">
      <alignment horizontal="center"/>
    </xf>
    <xf numFmtId="9" fontId="1" fillId="3" borderId="4" xfId="0" applyNumberFormat="1" applyFont="1" applyFill="1" applyBorder="1" applyAlignment="1">
      <alignment horizontal="center"/>
    </xf>
    <xf numFmtId="9" fontId="0" fillId="6" borderId="1" xfId="0" applyNumberFormat="1" applyFont="1" applyFill="1" applyBorder="1" applyAlignment="1">
      <alignment horizontal="center"/>
    </xf>
    <xf numFmtId="4" fontId="1" fillId="3" borderId="2" xfId="0" applyNumberFormat="1" applyFont="1" applyFill="1" applyBorder="1" applyAlignment="1">
      <alignment horizontal="center"/>
    </xf>
    <xf numFmtId="4" fontId="1" fillId="3" borderId="4" xfId="0" applyNumberFormat="1" applyFont="1" applyFill="1" applyBorder="1" applyAlignment="1">
      <alignment horizontal="center"/>
    </xf>
    <xf numFmtId="164" fontId="0" fillId="2" borderId="2" xfId="0" applyNumberFormat="1" applyFill="1" applyBorder="1" applyAlignment="1">
      <alignment horizontal="center"/>
    </xf>
    <xf numFmtId="164" fontId="0" fillId="2" borderId="4" xfId="0" applyNumberFormat="1" applyFill="1" applyBorder="1" applyAlignment="1">
      <alignment horizontal="center"/>
    </xf>
    <xf numFmtId="164" fontId="1" fillId="0" borderId="2" xfId="0" applyNumberFormat="1" applyFont="1" applyFill="1" applyBorder="1" applyAlignment="1">
      <alignment horizontal="center"/>
    </xf>
    <xf numFmtId="164" fontId="1" fillId="0" borderId="3" xfId="0" applyNumberFormat="1" applyFont="1" applyFill="1" applyBorder="1" applyAlignment="1">
      <alignment horizontal="center"/>
    </xf>
    <xf numFmtId="0" fontId="1" fillId="0" borderId="27" xfId="0" applyFont="1" applyBorder="1" applyAlignment="1">
      <alignment horizontal="left"/>
    </xf>
    <xf numFmtId="0" fontId="1" fillId="0" borderId="28" xfId="0" applyFont="1" applyBorder="1" applyAlignment="1">
      <alignment horizontal="left"/>
    </xf>
    <xf numFmtId="0" fontId="1" fillId="0" borderId="33" xfId="0" applyFont="1" applyBorder="1" applyAlignment="1">
      <alignment horizontal="left"/>
    </xf>
    <xf numFmtId="0" fontId="1" fillId="3" borderId="1" xfId="0" applyFont="1" applyFill="1" applyBorder="1" applyAlignment="1">
      <alignment horizontal="left" wrapText="1"/>
    </xf>
    <xf numFmtId="4" fontId="0" fillId="3" borderId="1" xfId="0" applyNumberFormat="1" applyFill="1" applyBorder="1" applyAlignment="1">
      <alignment horizontal="center"/>
    </xf>
    <xf numFmtId="0" fontId="1" fillId="4" borderId="19" xfId="0" applyFont="1" applyFill="1" applyBorder="1" applyAlignment="1">
      <alignment horizontal="center" wrapText="1"/>
    </xf>
    <xf numFmtId="0" fontId="1" fillId="4" borderId="18" xfId="0" applyFont="1" applyFill="1" applyBorder="1" applyAlignment="1">
      <alignment horizontal="center" wrapText="1"/>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1" fillId="0" borderId="7" xfId="0" applyFont="1" applyBorder="1" applyAlignment="1">
      <alignment horizontal="left"/>
    </xf>
    <xf numFmtId="0" fontId="1" fillId="0" borderId="6" xfId="0" applyFont="1" applyBorder="1" applyAlignment="1">
      <alignment horizontal="left"/>
    </xf>
    <xf numFmtId="0" fontId="1" fillId="0" borderId="8" xfId="0" applyFont="1" applyBorder="1" applyAlignment="1">
      <alignment horizontal="left"/>
    </xf>
    <xf numFmtId="9" fontId="0" fillId="0" borderId="1" xfId="0" applyNumberFormat="1" applyFill="1" applyBorder="1" applyAlignment="1">
      <alignment horizontal="center"/>
    </xf>
    <xf numFmtId="9" fontId="0" fillId="0" borderId="29" xfId="0" applyNumberFormat="1" applyFill="1" applyBorder="1" applyAlignment="1">
      <alignment horizontal="center"/>
    </xf>
    <xf numFmtId="0" fontId="1" fillId="4" borderId="25" xfId="0" applyFont="1" applyFill="1" applyBorder="1" applyAlignment="1">
      <alignment horizontal="center" wrapText="1"/>
    </xf>
    <xf numFmtId="0" fontId="1" fillId="4" borderId="24" xfId="0" applyFont="1" applyFill="1" applyBorder="1" applyAlignment="1">
      <alignment horizontal="center" wrapText="1"/>
    </xf>
    <xf numFmtId="0" fontId="1" fillId="4" borderId="26" xfId="0" applyFont="1" applyFill="1" applyBorder="1" applyAlignment="1">
      <alignment horizontal="center" wrapText="1"/>
    </xf>
    <xf numFmtId="9" fontId="0" fillId="2" borderId="3" xfId="0" applyNumberFormat="1" applyFill="1" applyBorder="1" applyAlignment="1">
      <alignment horizontal="center"/>
    </xf>
    <xf numFmtId="166" fontId="1" fillId="3" borderId="2" xfId="0" applyNumberFormat="1" applyFont="1" applyFill="1" applyBorder="1" applyAlignment="1">
      <alignment horizontal="center"/>
    </xf>
    <xf numFmtId="166" fontId="1" fillId="3" borderId="4" xfId="0" applyNumberFormat="1" applyFont="1" applyFill="1" applyBorder="1" applyAlignment="1">
      <alignment horizontal="center"/>
    </xf>
    <xf numFmtId="9" fontId="0" fillId="6" borderId="29" xfId="0" applyNumberFormat="1" applyFont="1" applyFill="1" applyBorder="1" applyAlignment="1">
      <alignment horizontal="center"/>
    </xf>
    <xf numFmtId="164" fontId="0" fillId="3" borderId="30" xfId="0" applyNumberFormat="1" applyFill="1" applyBorder="1" applyAlignment="1">
      <alignment horizontal="center"/>
    </xf>
    <xf numFmtId="164" fontId="0" fillId="3" borderId="34" xfId="0" applyNumberFormat="1" applyFill="1" applyBorder="1" applyAlignment="1">
      <alignment horizontal="center"/>
    </xf>
    <xf numFmtId="164" fontId="0" fillId="0" borderId="2" xfId="0" applyNumberFormat="1" applyFont="1" applyBorder="1" applyAlignment="1">
      <alignment horizontal="right"/>
    </xf>
    <xf numFmtId="164" fontId="0" fillId="0" borderId="4" xfId="0" applyNumberFormat="1" applyFont="1" applyBorder="1" applyAlignment="1">
      <alignment horizontal="right"/>
    </xf>
    <xf numFmtId="164" fontId="0" fillId="3" borderId="2" xfId="0" applyNumberFormat="1" applyFont="1" applyFill="1" applyBorder="1" applyAlignment="1">
      <alignment horizontal="right"/>
    </xf>
    <xf numFmtId="164" fontId="0" fillId="3" borderId="4" xfId="0" applyNumberFormat="1" applyFont="1" applyFill="1" applyBorder="1" applyAlignment="1">
      <alignment horizontal="right"/>
    </xf>
    <xf numFmtId="0" fontId="0" fillId="0" borderId="2" xfId="0" applyBorder="1" applyAlignment="1">
      <alignment horizontal="left"/>
    </xf>
    <xf numFmtId="0" fontId="0" fillId="0" borderId="4" xfId="0" applyBorder="1" applyAlignment="1">
      <alignment horizontal="left"/>
    </xf>
    <xf numFmtId="0" fontId="1" fillId="3" borderId="6" xfId="0" applyFont="1" applyFill="1" applyBorder="1" applyAlignment="1">
      <alignment horizontal="center"/>
    </xf>
    <xf numFmtId="0" fontId="0" fillId="0" borderId="1" xfId="0" applyBorder="1" applyAlignment="1">
      <alignment horizontal="left"/>
    </xf>
    <xf numFmtId="4" fontId="0" fillId="0" borderId="1" xfId="0" applyNumberFormat="1" applyBorder="1" applyAlignment="1">
      <alignment horizontal="right"/>
    </xf>
    <xf numFmtId="164" fontId="0" fillId="0" borderId="2" xfId="0" applyNumberFormat="1" applyBorder="1" applyAlignment="1">
      <alignment horizontal="right"/>
    </xf>
    <xf numFmtId="164" fontId="0" fillId="0" borderId="4" xfId="0" applyNumberFormat="1" applyBorder="1" applyAlignment="1">
      <alignment horizontal="right"/>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B381D9"/>
      <color rgb="FFFF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Funding: Enrollment v. Performance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spPr>
                <a:noFill/>
                <a:ln>
                  <a:noFill/>
                </a:ln>
                <a:effectLst/>
              </c:spPr>
              <c:txPr>
                <a:bodyPr rot="0" spcFirstLastPara="1" vertOverflow="clip" horzOverflow="clip" vert="horz" wrap="non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0-0B64-4194-8F7E-5CCFAC7A539C}"/>
                </c:ext>
              </c:extLst>
            </c:dLbl>
            <c:dLbl>
              <c:idx val="1"/>
              <c:spPr>
                <a:noFill/>
                <a:ln>
                  <a:noFill/>
                </a:ln>
                <a:effectLst/>
              </c:spPr>
              <c:txPr>
                <a:bodyPr rot="0" spcFirstLastPara="1" vertOverflow="clip" horzOverflow="clip" vert="horz" wrap="non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0-B6B7-409A-AC23-CC26C8D01C42}"/>
                </c:ext>
              </c:extLst>
            </c:dLbl>
            <c:spPr>
              <a:noFill/>
              <a:ln>
                <a:noFill/>
              </a:ln>
              <a:effectLst/>
            </c:spPr>
            <c:txPr>
              <a:bodyPr rot="0" spcFirstLastPara="1" vertOverflow="clip" horzOverflow="clip" vert="horz" wrap="non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Modeling!$V$3:$V$4</c:f>
              <c:numCache>
                <c:formatCode>General</c:formatCode>
                <c:ptCount val="2"/>
              </c:numCache>
            </c:numRef>
          </c:cat>
          <c:val>
            <c:numRef>
              <c:f>Modeling!$M$4:$M$5</c:f>
              <c:numCache>
                <c:formatCode>"$"#,##0</c:formatCode>
                <c:ptCount val="2"/>
                <c:pt idx="0">
                  <c:v>210168990.37701759</c:v>
                </c:pt>
                <c:pt idx="1">
                  <c:v>219514505.15858898</c:v>
                </c:pt>
              </c:numCache>
            </c:numRef>
          </c:val>
          <c:extLst>
            <c:ext xmlns:c16="http://schemas.microsoft.com/office/drawing/2014/chart" uri="{C3380CC4-5D6E-409C-BE32-E72D297353CC}">
              <c16:uniqueId val="{00000000-E82A-4A7F-BD3C-CB3E9630E4F9}"/>
            </c:ext>
          </c:extLst>
        </c:ser>
        <c:dLbls>
          <c:showLegendKey val="0"/>
          <c:showVal val="0"/>
          <c:showCatName val="0"/>
          <c:showSerName val="0"/>
          <c:showPercent val="0"/>
          <c:showBubbleSize val="0"/>
        </c:dLbls>
        <c:gapWidth val="20"/>
        <c:overlap val="-27"/>
        <c:axId val="579180104"/>
        <c:axId val="579177152"/>
      </c:barChart>
      <c:catAx>
        <c:axId val="579180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79177152"/>
        <c:crosses val="autoZero"/>
        <c:auto val="1"/>
        <c:lblAlgn val="ctr"/>
        <c:lblOffset val="100"/>
        <c:noMultiLvlLbl val="0"/>
      </c:catAx>
      <c:valAx>
        <c:axId val="579177152"/>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crossAx val="579180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At Risk-Students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spPr>
                <a:noFill/>
                <a:ln>
                  <a:noFill/>
                </a:ln>
                <a:effectLst/>
              </c:spPr>
              <c:txPr>
                <a:bodyPr rot="0" spcFirstLastPara="1" vertOverflow="clip" horzOverflow="clip" vert="horz" wrap="non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1-8A00-4456-98DE-3F417973EEE7}"/>
                </c:ext>
              </c:extLst>
            </c:dLbl>
            <c:dLbl>
              <c:idx val="1"/>
              <c:spPr>
                <a:noFill/>
                <a:ln>
                  <a:noFill/>
                </a:ln>
                <a:effectLst/>
              </c:spPr>
              <c:txPr>
                <a:bodyPr rot="0" spcFirstLastPara="1" vertOverflow="clip" horzOverflow="clip" vert="horz" wrap="non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2-8A00-4456-98DE-3F417973EEE7}"/>
                </c:ext>
              </c:extLst>
            </c:dLbl>
            <c:spPr>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Modeling!$V$3:$V$4</c:f>
              <c:numCache>
                <c:formatCode>General</c:formatCode>
                <c:ptCount val="2"/>
              </c:numCache>
            </c:numRef>
          </c:cat>
          <c:val>
            <c:numRef>
              <c:f>Modeling!$M$16:$M$17</c:f>
              <c:numCache>
                <c:formatCode>"$"#,##0</c:formatCode>
                <c:ptCount val="2"/>
                <c:pt idx="0">
                  <c:v>165974912.12174958</c:v>
                </c:pt>
                <c:pt idx="1">
                  <c:v>172244063.82845029</c:v>
                </c:pt>
              </c:numCache>
            </c:numRef>
          </c:val>
          <c:extLst>
            <c:ext xmlns:c16="http://schemas.microsoft.com/office/drawing/2014/chart" uri="{C3380CC4-5D6E-409C-BE32-E72D297353CC}">
              <c16:uniqueId val="{00000000-8A00-4456-98DE-3F417973EEE7}"/>
            </c:ext>
          </c:extLst>
        </c:ser>
        <c:dLbls>
          <c:showLegendKey val="0"/>
          <c:showVal val="0"/>
          <c:showCatName val="0"/>
          <c:showSerName val="0"/>
          <c:showPercent val="0"/>
          <c:showBubbleSize val="0"/>
        </c:dLbls>
        <c:gapWidth val="20"/>
        <c:overlap val="-27"/>
        <c:axId val="579180104"/>
        <c:axId val="579177152"/>
      </c:barChart>
      <c:catAx>
        <c:axId val="579180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79177152"/>
        <c:crosses val="autoZero"/>
        <c:auto val="1"/>
        <c:lblAlgn val="ctr"/>
        <c:lblOffset val="100"/>
        <c:noMultiLvlLbl val="0"/>
      </c:catAx>
      <c:valAx>
        <c:axId val="579177152"/>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crossAx val="579180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Course</a:t>
            </a:r>
            <a:r>
              <a:rPr lang="en-US" b="1" baseline="0"/>
              <a:t> Successes Per $1 Million</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Modeling!$V$3:$V$4</c:f>
              <c:numCache>
                <c:formatCode>General</c:formatCode>
                <c:ptCount val="2"/>
              </c:numCache>
            </c:numRef>
          </c:cat>
          <c:val>
            <c:numRef>
              <c:f>Modeling!$M$10:$M$11</c:f>
              <c:numCache>
                <c:formatCode>#,##0</c:formatCode>
                <c:ptCount val="2"/>
                <c:pt idx="0">
                  <c:v>644.00062900430953</c:v>
                </c:pt>
                <c:pt idx="1">
                  <c:v>742.54697994667924</c:v>
                </c:pt>
              </c:numCache>
            </c:numRef>
          </c:val>
          <c:extLst>
            <c:ext xmlns:c16="http://schemas.microsoft.com/office/drawing/2014/chart" uri="{C3380CC4-5D6E-409C-BE32-E72D297353CC}">
              <c16:uniqueId val="{00000000-1A66-4A85-B685-05B57EB3BA0E}"/>
            </c:ext>
          </c:extLst>
        </c:ser>
        <c:dLbls>
          <c:showLegendKey val="0"/>
          <c:showVal val="0"/>
          <c:showCatName val="0"/>
          <c:showSerName val="0"/>
          <c:showPercent val="0"/>
          <c:showBubbleSize val="0"/>
        </c:dLbls>
        <c:gapWidth val="20"/>
        <c:overlap val="-27"/>
        <c:axId val="579180104"/>
        <c:axId val="579177152"/>
      </c:barChart>
      <c:catAx>
        <c:axId val="579180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79177152"/>
        <c:crosses val="autoZero"/>
        <c:auto val="1"/>
        <c:lblAlgn val="ctr"/>
        <c:lblOffset val="100"/>
        <c:noMultiLvlLbl val="0"/>
      </c:catAx>
      <c:valAx>
        <c:axId val="579177152"/>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79180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At-Risk:</a:t>
            </a:r>
            <a:r>
              <a:rPr lang="en-US" b="1" baseline="0"/>
              <a:t> Successes Per $1 Million</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Modeling!$V$3:$V$4</c:f>
              <c:numCache>
                <c:formatCode>General</c:formatCode>
                <c:ptCount val="2"/>
              </c:numCache>
            </c:numRef>
          </c:cat>
          <c:val>
            <c:numRef>
              <c:f>Modeling!$M$22:$M$23</c:f>
              <c:numCache>
                <c:formatCode>#,##0</c:formatCode>
                <c:ptCount val="2"/>
                <c:pt idx="0">
                  <c:v>553.43654547392885</c:v>
                </c:pt>
                <c:pt idx="1">
                  <c:v>655.95059329608091</c:v>
                </c:pt>
              </c:numCache>
            </c:numRef>
          </c:val>
          <c:extLst>
            <c:ext xmlns:c16="http://schemas.microsoft.com/office/drawing/2014/chart" uri="{C3380CC4-5D6E-409C-BE32-E72D297353CC}">
              <c16:uniqueId val="{00000000-5036-4170-B880-77E93F16D31D}"/>
            </c:ext>
          </c:extLst>
        </c:ser>
        <c:dLbls>
          <c:showLegendKey val="0"/>
          <c:showVal val="0"/>
          <c:showCatName val="0"/>
          <c:showSerName val="0"/>
          <c:showPercent val="0"/>
          <c:showBubbleSize val="0"/>
        </c:dLbls>
        <c:gapWidth val="20"/>
        <c:overlap val="-27"/>
        <c:axId val="579180104"/>
        <c:axId val="579177152"/>
      </c:barChart>
      <c:catAx>
        <c:axId val="579180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79177152"/>
        <c:crosses val="autoZero"/>
        <c:auto val="1"/>
        <c:lblAlgn val="ctr"/>
        <c:lblOffset val="100"/>
        <c:noMultiLvlLbl val="0"/>
      </c:catAx>
      <c:valAx>
        <c:axId val="579177152"/>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79180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171450</xdr:colOff>
      <xdr:row>2</xdr:row>
      <xdr:rowOff>4762</xdr:rowOff>
    </xdr:from>
    <xdr:to>
      <xdr:col>17</xdr:col>
      <xdr:colOff>190500</xdr:colOff>
      <xdr:row>16</xdr:row>
      <xdr:rowOff>80962</xdr:rowOff>
    </xdr:to>
    <xdr:graphicFrame macro="">
      <xdr:nvGraphicFramePr>
        <xdr:cNvPr id="3" name="Chart 2">
          <a:extLst>
            <a:ext uri="{FF2B5EF4-FFF2-40B4-BE49-F238E27FC236}">
              <a16:creationId xmlns:a16="http://schemas.microsoft.com/office/drawing/2014/main" id="{F9BC5BE6-803E-4451-BE75-B807F82859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180975</xdr:colOff>
      <xdr:row>16</xdr:row>
      <xdr:rowOff>104775</xdr:rowOff>
    </xdr:from>
    <xdr:to>
      <xdr:col>17</xdr:col>
      <xdr:colOff>200025</xdr:colOff>
      <xdr:row>30</xdr:row>
      <xdr:rowOff>171450</xdr:rowOff>
    </xdr:to>
    <xdr:graphicFrame macro="">
      <xdr:nvGraphicFramePr>
        <xdr:cNvPr id="5" name="Chart 4">
          <a:extLst>
            <a:ext uri="{FF2B5EF4-FFF2-40B4-BE49-F238E27FC236}">
              <a16:creationId xmlns:a16="http://schemas.microsoft.com/office/drawing/2014/main" id="{0BB6F348-DFFE-4C87-9E0E-5016CA7430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247650</xdr:colOff>
      <xdr:row>2</xdr:row>
      <xdr:rowOff>0</xdr:rowOff>
    </xdr:from>
    <xdr:to>
      <xdr:col>20</xdr:col>
      <xdr:colOff>695325</xdr:colOff>
      <xdr:row>16</xdr:row>
      <xdr:rowOff>76200</xdr:rowOff>
    </xdr:to>
    <xdr:graphicFrame macro="">
      <xdr:nvGraphicFramePr>
        <xdr:cNvPr id="6" name="Chart 5">
          <a:extLst>
            <a:ext uri="{FF2B5EF4-FFF2-40B4-BE49-F238E27FC236}">
              <a16:creationId xmlns:a16="http://schemas.microsoft.com/office/drawing/2014/main" id="{A29BFC48-2FE4-4B4F-951B-07BA492DA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247650</xdr:colOff>
      <xdr:row>16</xdr:row>
      <xdr:rowOff>95250</xdr:rowOff>
    </xdr:from>
    <xdr:to>
      <xdr:col>20</xdr:col>
      <xdr:colOff>695325</xdr:colOff>
      <xdr:row>30</xdr:row>
      <xdr:rowOff>161925</xdr:rowOff>
    </xdr:to>
    <xdr:graphicFrame macro="">
      <xdr:nvGraphicFramePr>
        <xdr:cNvPr id="7" name="Chart 6">
          <a:extLst>
            <a:ext uri="{FF2B5EF4-FFF2-40B4-BE49-F238E27FC236}">
              <a16:creationId xmlns:a16="http://schemas.microsoft.com/office/drawing/2014/main" id="{343564D1-C6F0-4273-9B0F-FB925DA512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2F366-95E3-436C-93CA-71EC071C6F7C}">
  <dimension ref="A1:A24"/>
  <sheetViews>
    <sheetView topLeftCell="A13" workbookViewId="0">
      <selection activeCell="A24" sqref="A24"/>
    </sheetView>
  </sheetViews>
  <sheetFormatPr defaultRowHeight="15" x14ac:dyDescent="0.25"/>
  <cols>
    <col min="1" max="1" width="123.85546875" style="115" customWidth="1"/>
  </cols>
  <sheetData>
    <row r="1" spans="1:1" x14ac:dyDescent="0.25">
      <c r="A1" s="84" t="s">
        <v>37</v>
      </c>
    </row>
    <row r="2" spans="1:1" ht="30" x14ac:dyDescent="0.25">
      <c r="A2" s="130" t="s">
        <v>54</v>
      </c>
    </row>
    <row r="3" spans="1:1" x14ac:dyDescent="0.25">
      <c r="A3" s="129" t="s">
        <v>13</v>
      </c>
    </row>
    <row r="4" spans="1:1" ht="60" x14ac:dyDescent="0.25">
      <c r="A4" s="129" t="s">
        <v>113</v>
      </c>
    </row>
    <row r="5" spans="1:1" ht="45" x14ac:dyDescent="0.25">
      <c r="A5" s="129" t="s">
        <v>89</v>
      </c>
    </row>
    <row r="6" spans="1:1" ht="75" x14ac:dyDescent="0.25">
      <c r="A6" s="130" t="s">
        <v>112</v>
      </c>
    </row>
    <row r="7" spans="1:1" ht="45" x14ac:dyDescent="0.25">
      <c r="A7" s="130" t="s">
        <v>69</v>
      </c>
    </row>
    <row r="8" spans="1:1" ht="60" x14ac:dyDescent="0.25">
      <c r="A8" s="130" t="s">
        <v>70</v>
      </c>
    </row>
    <row r="9" spans="1:1" ht="45" x14ac:dyDescent="0.25">
      <c r="A9" s="130" t="s">
        <v>87</v>
      </c>
    </row>
    <row r="10" spans="1:1" ht="45" x14ac:dyDescent="0.25">
      <c r="A10" s="130" t="s">
        <v>82</v>
      </c>
    </row>
    <row r="11" spans="1:1" ht="30" x14ac:dyDescent="0.25">
      <c r="A11" s="130" t="s">
        <v>86</v>
      </c>
    </row>
    <row r="12" spans="1:1" ht="45" x14ac:dyDescent="0.25">
      <c r="A12" s="130" t="s">
        <v>83</v>
      </c>
    </row>
    <row r="13" spans="1:1" ht="30" x14ac:dyDescent="0.25">
      <c r="A13" s="130" t="s">
        <v>58</v>
      </c>
    </row>
    <row r="14" spans="1:1" ht="60" x14ac:dyDescent="0.25">
      <c r="A14" s="130" t="s">
        <v>78</v>
      </c>
    </row>
    <row r="15" spans="1:1" ht="45" x14ac:dyDescent="0.25">
      <c r="A15" s="130" t="s">
        <v>71</v>
      </c>
    </row>
    <row r="16" spans="1:1" ht="45" x14ac:dyDescent="0.25">
      <c r="A16" s="130" t="s">
        <v>84</v>
      </c>
    </row>
    <row r="17" spans="1:1" ht="30" x14ac:dyDescent="0.25">
      <c r="A17" s="130" t="s">
        <v>88</v>
      </c>
    </row>
    <row r="18" spans="1:1" x14ac:dyDescent="0.25">
      <c r="A18" s="129" t="s">
        <v>14</v>
      </c>
    </row>
    <row r="19" spans="1:1" ht="30" x14ac:dyDescent="0.25">
      <c r="A19" s="130" t="s">
        <v>41</v>
      </c>
    </row>
    <row r="20" spans="1:1" x14ac:dyDescent="0.25">
      <c r="A20" s="130" t="s">
        <v>42</v>
      </c>
    </row>
    <row r="21" spans="1:1" ht="30" x14ac:dyDescent="0.25">
      <c r="A21" s="130" t="s">
        <v>85</v>
      </c>
    </row>
    <row r="22" spans="1:1" ht="46.5" customHeight="1" x14ac:dyDescent="0.25">
      <c r="A22" s="130" t="s">
        <v>114</v>
      </c>
    </row>
    <row r="23" spans="1:1" ht="30" x14ac:dyDescent="0.25">
      <c r="A23" s="130" t="s">
        <v>115</v>
      </c>
    </row>
    <row r="24" spans="1:1" ht="30" x14ac:dyDescent="0.25">
      <c r="A24" s="130" t="s">
        <v>116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6"/>
  <sheetViews>
    <sheetView tabSelected="1" topLeftCell="A25" zoomScaleNormal="100" workbookViewId="0">
      <selection activeCell="M36" sqref="A1:XFD1048576"/>
    </sheetView>
  </sheetViews>
  <sheetFormatPr defaultColWidth="8.85546875" defaultRowHeight="15" x14ac:dyDescent="0.25"/>
  <cols>
    <col min="1" max="1" width="29.42578125" customWidth="1"/>
    <col min="2" max="2" width="7.42578125" style="21" customWidth="1"/>
    <col min="3" max="3" width="8.85546875" customWidth="1"/>
    <col min="4" max="4" width="8" style="78" customWidth="1"/>
    <col min="5" max="5" width="6" customWidth="1"/>
    <col min="6" max="6" width="7" style="69" customWidth="1"/>
    <col min="7" max="7" width="2.7109375" style="69" customWidth="1"/>
    <col min="8" max="8" width="10.42578125" style="69" customWidth="1"/>
    <col min="9" max="9" width="7.42578125" customWidth="1"/>
    <col min="10" max="10" width="10" style="41" customWidth="1"/>
    <col min="11" max="11" width="9.42578125" customWidth="1"/>
    <col min="12" max="12" width="10.42578125" customWidth="1"/>
    <col min="13" max="13" width="12.85546875" customWidth="1"/>
    <col min="14" max="14" width="10.140625" customWidth="1"/>
    <col min="15" max="15" width="8" customWidth="1"/>
    <col min="16" max="16" width="8.5703125" customWidth="1"/>
    <col min="17" max="17" width="7.42578125" customWidth="1"/>
    <col min="18" max="18" width="6.85546875" style="56" customWidth="1"/>
    <col min="19" max="19" width="9.5703125" customWidth="1"/>
    <col min="20" max="20" width="7.42578125" style="60" customWidth="1"/>
    <col min="21" max="21" width="8.5703125" customWidth="1"/>
    <col min="22" max="22" width="10" style="41" customWidth="1"/>
    <col min="23" max="23" width="12.28515625" style="37" customWidth="1"/>
    <col min="24" max="24" width="12.42578125" customWidth="1"/>
    <col min="25" max="25" width="9.5703125" style="41" customWidth="1"/>
    <col min="26" max="26" width="8" style="37" customWidth="1"/>
    <col min="31" max="31" width="13.85546875" bestFit="1" customWidth="1"/>
    <col min="32" max="32" width="13" customWidth="1"/>
  </cols>
  <sheetData>
    <row r="1" spans="1:32" ht="15.75" thickBot="1" x14ac:dyDescent="0.3">
      <c r="A1" s="205" t="s">
        <v>21</v>
      </c>
      <c r="B1" s="206"/>
      <c r="C1" s="206"/>
      <c r="D1" s="206"/>
      <c r="E1" s="206"/>
      <c r="F1" s="206"/>
      <c r="G1" s="206"/>
      <c r="H1" s="206"/>
      <c r="I1" s="206"/>
      <c r="J1" s="206"/>
      <c r="K1" s="206"/>
      <c r="L1" s="206"/>
      <c r="M1" s="206"/>
      <c r="O1" s="230" t="s">
        <v>117</v>
      </c>
      <c r="P1" s="231"/>
      <c r="Q1" s="231"/>
      <c r="R1" s="231"/>
      <c r="S1" s="143">
        <v>0</v>
      </c>
      <c r="T1" s="37"/>
      <c r="Y1"/>
      <c r="Z1"/>
    </row>
    <row r="2" spans="1:32" ht="15.75" thickBot="1" x14ac:dyDescent="0.3">
      <c r="F2" s="131"/>
      <c r="G2" s="131"/>
      <c r="H2" s="131"/>
      <c r="I2" s="131"/>
      <c r="P2" s="56"/>
      <c r="Q2" s="33"/>
      <c r="R2" s="33"/>
      <c r="S2" s="33"/>
      <c r="T2" s="33"/>
      <c r="U2" s="37"/>
      <c r="V2"/>
      <c r="W2" s="41"/>
      <c r="X2" s="37"/>
      <c r="Y2"/>
      <c r="Z2"/>
    </row>
    <row r="3" spans="1:32" ht="15" customHeight="1" x14ac:dyDescent="0.25">
      <c r="A3" s="237" t="s">
        <v>13</v>
      </c>
      <c r="B3" s="238"/>
      <c r="C3" s="238"/>
      <c r="D3" s="238"/>
      <c r="E3" s="238"/>
      <c r="F3" s="238"/>
      <c r="G3" s="152"/>
      <c r="H3" s="247" t="s">
        <v>14</v>
      </c>
      <c r="I3" s="248"/>
      <c r="J3" s="248"/>
      <c r="K3" s="248"/>
      <c r="L3" s="248"/>
      <c r="M3" s="249"/>
      <c r="O3" s="56"/>
      <c r="Q3" s="60"/>
      <c r="R3"/>
      <c r="S3" s="41"/>
      <c r="T3" s="114"/>
      <c r="U3" s="33" t="s">
        <v>40</v>
      </c>
      <c r="V3" s="33"/>
      <c r="W3" s="33"/>
      <c r="X3" s="33"/>
      <c r="Y3" s="47"/>
      <c r="Z3" s="50"/>
      <c r="AA3" s="33"/>
      <c r="AB3" s="47"/>
      <c r="AC3" s="50"/>
      <c r="AF3" s="1"/>
    </row>
    <row r="4" spans="1:32" ht="15" customHeight="1" x14ac:dyDescent="0.25">
      <c r="A4" s="235" t="s">
        <v>4</v>
      </c>
      <c r="B4" s="235"/>
      <c r="C4" s="235"/>
      <c r="D4" s="235"/>
      <c r="E4" s="235"/>
      <c r="F4" s="235"/>
      <c r="G4" s="110"/>
      <c r="H4" s="192" t="s">
        <v>38</v>
      </c>
      <c r="I4" s="193"/>
      <c r="J4" s="193"/>
      <c r="K4" s="193"/>
      <c r="L4" s="194"/>
      <c r="M4" s="155">
        <f>G39</f>
        <v>210168990.37701759</v>
      </c>
      <c r="N4" s="54"/>
      <c r="O4" s="56"/>
      <c r="Q4" s="60"/>
      <c r="R4"/>
      <c r="S4" s="41"/>
      <c r="T4" s="33"/>
      <c r="U4" s="33" t="s">
        <v>73</v>
      </c>
      <c r="V4" s="33"/>
      <c r="W4" s="33"/>
      <c r="X4" s="33"/>
      <c r="Y4" s="47"/>
      <c r="Z4" s="50"/>
      <c r="AA4" s="33"/>
      <c r="AB4" s="47"/>
      <c r="AC4" s="50"/>
      <c r="AF4" s="1"/>
    </row>
    <row r="5" spans="1:32" x14ac:dyDescent="0.25">
      <c r="A5" s="242" t="s">
        <v>30</v>
      </c>
      <c r="B5" s="243"/>
      <c r="C5" s="243"/>
      <c r="D5" s="244"/>
      <c r="E5" s="212">
        <f>'Current Funding'!C7</f>
        <v>945.00445313407192</v>
      </c>
      <c r="F5" s="213"/>
      <c r="G5" s="110"/>
      <c r="H5" s="192" t="s">
        <v>39</v>
      </c>
      <c r="I5" s="193"/>
      <c r="J5" s="193"/>
      <c r="K5" s="193"/>
      <c r="L5" s="193"/>
      <c r="M5" s="155">
        <f>X39</f>
        <v>219514505.15858898</v>
      </c>
      <c r="N5" s="54"/>
      <c r="O5" s="55"/>
      <c r="Q5" s="60"/>
      <c r="R5"/>
      <c r="S5" s="41"/>
      <c r="T5" s="18"/>
      <c r="U5" s="18"/>
      <c r="V5" s="18"/>
      <c r="W5" s="18"/>
      <c r="AB5" s="41"/>
      <c r="AC5" s="37"/>
    </row>
    <row r="6" spans="1:32" x14ac:dyDescent="0.25">
      <c r="A6" s="187" t="s">
        <v>90</v>
      </c>
      <c r="B6" s="188"/>
      <c r="C6" s="188"/>
      <c r="D6" s="189"/>
      <c r="E6" s="214">
        <v>1</v>
      </c>
      <c r="F6" s="215"/>
      <c r="G6" s="110"/>
      <c r="H6" s="195" t="s">
        <v>119</v>
      </c>
      <c r="I6" s="196"/>
      <c r="J6" s="196"/>
      <c r="K6" s="196"/>
      <c r="L6" s="196"/>
      <c r="M6" s="158">
        <f>M5-M4</f>
        <v>9345514.7815713882</v>
      </c>
      <c r="N6" s="54"/>
      <c r="O6" s="139"/>
      <c r="P6" s="139"/>
      <c r="Q6" s="140"/>
      <c r="R6" s="140"/>
      <c r="S6" s="41"/>
      <c r="T6" s="18"/>
      <c r="U6" s="18"/>
      <c r="V6" s="18"/>
      <c r="W6" s="18"/>
      <c r="AB6" s="41"/>
      <c r="AC6" s="37"/>
    </row>
    <row r="7" spans="1:32" x14ac:dyDescent="0.25">
      <c r="A7" s="239" t="s">
        <v>56</v>
      </c>
      <c r="B7" s="240"/>
      <c r="C7" s="240"/>
      <c r="D7" s="241"/>
      <c r="E7" s="236"/>
      <c r="F7" s="236"/>
      <c r="G7" s="110"/>
      <c r="H7" s="192" t="s">
        <v>79</v>
      </c>
      <c r="I7" s="193"/>
      <c r="J7" s="193"/>
      <c r="K7" s="193"/>
      <c r="L7" s="193"/>
      <c r="M7" s="156">
        <f>J39</f>
        <v>135348.962</v>
      </c>
      <c r="N7" s="54"/>
      <c r="O7" s="70"/>
      <c r="P7" s="70"/>
      <c r="Q7" s="141"/>
      <c r="R7" s="141"/>
      <c r="S7" s="41"/>
      <c r="T7" s="72"/>
      <c r="U7" s="72"/>
      <c r="V7" s="72"/>
      <c r="W7" s="72"/>
      <c r="AB7" s="41"/>
      <c r="AC7" s="37"/>
    </row>
    <row r="8" spans="1:32" x14ac:dyDescent="0.25">
      <c r="A8" s="187" t="s">
        <v>123</v>
      </c>
      <c r="B8" s="188"/>
      <c r="C8" s="188"/>
      <c r="D8" s="189"/>
      <c r="E8" s="245">
        <v>0.93</v>
      </c>
      <c r="F8" s="245"/>
      <c r="G8" s="116"/>
      <c r="H8" s="192" t="s">
        <v>59</v>
      </c>
      <c r="I8" s="193"/>
      <c r="J8" s="193"/>
      <c r="K8" s="193"/>
      <c r="L8" s="193"/>
      <c r="M8" s="156">
        <f>Y39</f>
        <v>162999.83285999999</v>
      </c>
      <c r="N8" s="54"/>
      <c r="O8" s="70"/>
      <c r="P8" s="70"/>
      <c r="Q8" s="141"/>
      <c r="R8" s="141"/>
      <c r="S8" s="41"/>
      <c r="T8" s="72"/>
      <c r="U8" s="72"/>
      <c r="V8" s="72"/>
      <c r="W8" s="72"/>
      <c r="AB8" s="41"/>
      <c r="AC8" s="37"/>
    </row>
    <row r="9" spans="1:32" ht="15.75" thickBot="1" x14ac:dyDescent="0.3">
      <c r="A9" s="232" t="s">
        <v>91</v>
      </c>
      <c r="B9" s="233"/>
      <c r="C9" s="233"/>
      <c r="D9" s="234"/>
      <c r="E9" s="246">
        <v>0.52300000000000002</v>
      </c>
      <c r="F9" s="246"/>
      <c r="G9" s="116"/>
      <c r="H9" s="195" t="s">
        <v>60</v>
      </c>
      <c r="I9" s="196"/>
      <c r="J9" s="196"/>
      <c r="K9" s="196"/>
      <c r="L9" s="196"/>
      <c r="M9" s="159">
        <f>M8-M7</f>
        <v>27650.870859999995</v>
      </c>
      <c r="N9" s="54"/>
      <c r="O9" s="139"/>
      <c r="P9" s="139"/>
      <c r="Q9" s="141"/>
      <c r="R9" s="141"/>
      <c r="S9" s="41"/>
      <c r="T9" s="72"/>
      <c r="U9" s="72"/>
      <c r="V9" s="72"/>
      <c r="W9" s="72"/>
      <c r="AB9" s="41"/>
      <c r="AC9" s="37"/>
    </row>
    <row r="10" spans="1:32" ht="15.75" thickTop="1" x14ac:dyDescent="0.25">
      <c r="A10" s="162" t="s">
        <v>3</v>
      </c>
      <c r="B10" s="163" t="s">
        <v>22</v>
      </c>
      <c r="C10" s="163" t="s">
        <v>24</v>
      </c>
      <c r="D10" s="163" t="s">
        <v>23</v>
      </c>
      <c r="E10" s="210" t="s">
        <v>15</v>
      </c>
      <c r="F10" s="211"/>
      <c r="G10" s="116"/>
      <c r="H10" s="192" t="s">
        <v>61</v>
      </c>
      <c r="I10" s="193"/>
      <c r="J10" s="193"/>
      <c r="K10" s="193"/>
      <c r="L10" s="193"/>
      <c r="M10" s="156">
        <f>M7/(M4/1000000)</f>
        <v>644.00062900430953</v>
      </c>
      <c r="N10" s="54"/>
      <c r="O10" s="70"/>
      <c r="P10" s="70"/>
      <c r="Q10" s="142"/>
      <c r="R10" s="142"/>
      <c r="S10" s="41"/>
      <c r="T10" s="72"/>
      <c r="U10" s="72"/>
      <c r="V10" s="72"/>
      <c r="W10" s="72"/>
      <c r="AB10" s="41"/>
      <c r="AC10" s="37"/>
    </row>
    <row r="11" spans="1:32" x14ac:dyDescent="0.25">
      <c r="A11" s="134" t="s">
        <v>29</v>
      </c>
      <c r="B11" s="97">
        <f>C11/2</f>
        <v>0.05</v>
      </c>
      <c r="C11" s="95">
        <v>0.1</v>
      </c>
      <c r="D11" s="94">
        <f>C11*1.5</f>
        <v>0.15000000000000002</v>
      </c>
      <c r="E11" s="219">
        <v>0.1</v>
      </c>
      <c r="F11" s="220"/>
      <c r="G11" s="110"/>
      <c r="H11" s="192" t="s">
        <v>75</v>
      </c>
      <c r="I11" s="193"/>
      <c r="J11" s="193"/>
      <c r="K11" s="193"/>
      <c r="L11" s="193"/>
      <c r="M11" s="156">
        <f>M8/(M5/1000000)</f>
        <v>742.54697994667924</v>
      </c>
      <c r="N11" s="54"/>
      <c r="O11" s="70"/>
      <c r="P11" s="70"/>
      <c r="Q11" s="142"/>
      <c r="R11" s="142"/>
      <c r="S11" s="72"/>
      <c r="T11" s="72"/>
      <c r="U11" s="72"/>
      <c r="V11" s="72"/>
      <c r="W11" s="72"/>
      <c r="AB11" s="41"/>
      <c r="AC11" s="37"/>
    </row>
    <row r="12" spans="1:32" x14ac:dyDescent="0.25">
      <c r="A12" s="135" t="s">
        <v>36</v>
      </c>
      <c r="B12" s="79" t="s">
        <v>22</v>
      </c>
      <c r="C12" s="79" t="s">
        <v>24</v>
      </c>
      <c r="D12" s="79" t="s">
        <v>23</v>
      </c>
      <c r="E12" s="223" t="s">
        <v>25</v>
      </c>
      <c r="F12" s="224"/>
      <c r="G12" s="110"/>
      <c r="H12" s="195" t="s">
        <v>62</v>
      </c>
      <c r="I12" s="196"/>
      <c r="J12" s="196"/>
      <c r="K12" s="196"/>
      <c r="L12" s="196"/>
      <c r="M12" s="160">
        <f>(M11-M10)/M10</f>
        <v>0.15302213461302422</v>
      </c>
      <c r="N12" s="54"/>
      <c r="O12" s="55"/>
      <c r="P12" s="18"/>
      <c r="Q12" s="18"/>
      <c r="R12" s="18"/>
      <c r="S12" s="18"/>
      <c r="T12" s="18"/>
      <c r="U12" s="18"/>
      <c r="V12" s="18"/>
      <c r="W12" s="18"/>
      <c r="AB12" s="41"/>
      <c r="AC12" s="37"/>
    </row>
    <row r="13" spans="1:32" x14ac:dyDescent="0.25">
      <c r="A13" s="136" t="s">
        <v>48</v>
      </c>
      <c r="B13" s="97">
        <f>C13/3</f>
        <v>4.9999999999999996E-2</v>
      </c>
      <c r="C13" s="95">
        <v>0.15</v>
      </c>
      <c r="D13" s="94">
        <f>C13+0.05</f>
        <v>0.2</v>
      </c>
      <c r="E13" s="225">
        <f>IF(E$11=B$11,B13,IF(E$11=C$11,C13,D13))</f>
        <v>0.15</v>
      </c>
      <c r="F13" s="225"/>
      <c r="G13" s="110"/>
      <c r="H13" s="192" t="s">
        <v>35</v>
      </c>
      <c r="I13" s="193"/>
      <c r="J13" s="193"/>
      <c r="K13" s="193"/>
      <c r="L13" s="193"/>
      <c r="M13" s="155">
        <f>M6</f>
        <v>9345514.7815713882</v>
      </c>
      <c r="N13" s="54"/>
      <c r="O13" s="55"/>
      <c r="P13" s="72"/>
      <c r="Q13" s="73"/>
      <c r="R13" s="72"/>
      <c r="S13" s="72"/>
      <c r="T13" s="72"/>
      <c r="U13" s="72"/>
      <c r="V13" s="72"/>
      <c r="W13" s="72"/>
      <c r="AB13" s="41"/>
      <c r="AC13" s="37"/>
    </row>
    <row r="14" spans="1:32" x14ac:dyDescent="0.25">
      <c r="A14" s="136" t="s">
        <v>92</v>
      </c>
      <c r="B14" s="97">
        <f>C14/3</f>
        <v>7.6666666666666675E-2</v>
      </c>
      <c r="C14" s="95">
        <v>0.23</v>
      </c>
      <c r="D14" s="94">
        <f>C14+0.05</f>
        <v>0.28000000000000003</v>
      </c>
      <c r="E14" s="225">
        <f>IF(E$11=B$11,B14,IF(E$11=C$11,C14,D14))</f>
        <v>0.23</v>
      </c>
      <c r="F14" s="225"/>
      <c r="G14" s="110"/>
      <c r="H14" s="192" t="s">
        <v>63</v>
      </c>
      <c r="I14" s="193"/>
      <c r="J14" s="193"/>
      <c r="K14" s="193"/>
      <c r="L14" s="193"/>
      <c r="M14" s="156">
        <f>M9</f>
        <v>27650.870859999995</v>
      </c>
      <c r="N14" s="54"/>
      <c r="O14" s="55"/>
      <c r="P14" s="72"/>
      <c r="Q14" s="73"/>
      <c r="R14" s="72"/>
      <c r="S14" s="72"/>
      <c r="T14" s="72"/>
      <c r="U14" s="72"/>
      <c r="V14" s="72"/>
      <c r="W14" s="72"/>
      <c r="AB14" s="41"/>
      <c r="AC14" s="37"/>
    </row>
    <row r="15" spans="1:32" ht="15.75" thickBot="1" x14ac:dyDescent="0.3">
      <c r="A15" s="135" t="s">
        <v>28</v>
      </c>
      <c r="B15" s="79" t="s">
        <v>22</v>
      </c>
      <c r="C15" s="79" t="s">
        <v>24</v>
      </c>
      <c r="D15" s="79" t="s">
        <v>23</v>
      </c>
      <c r="E15" s="226" t="s">
        <v>15</v>
      </c>
      <c r="F15" s="227"/>
      <c r="G15" s="110"/>
      <c r="H15" s="197" t="s">
        <v>118</v>
      </c>
      <c r="I15" s="198"/>
      <c r="J15" s="198"/>
      <c r="K15" s="198"/>
      <c r="L15" s="198"/>
      <c r="M15" s="170">
        <f>M13/M14</f>
        <v>337.98265627469607</v>
      </c>
      <c r="N15" s="54"/>
      <c r="O15" s="55"/>
      <c r="P15" s="72"/>
      <c r="Q15" s="73"/>
      <c r="R15" s="72"/>
      <c r="S15" s="72"/>
      <c r="T15" s="72"/>
      <c r="U15" s="72"/>
      <c r="V15" s="72"/>
      <c r="W15" s="72"/>
      <c r="AB15" s="41"/>
      <c r="AC15" s="37"/>
    </row>
    <row r="16" spans="1:32" ht="15.75" thickTop="1" x14ac:dyDescent="0.25">
      <c r="A16" s="134" t="s">
        <v>93</v>
      </c>
      <c r="B16" s="99">
        <v>1</v>
      </c>
      <c r="C16" s="96">
        <v>1.22</v>
      </c>
      <c r="D16" s="98">
        <f>C16+0.2</f>
        <v>1.42</v>
      </c>
      <c r="E16" s="221">
        <v>1.22</v>
      </c>
      <c r="F16" s="222"/>
      <c r="G16" s="110"/>
      <c r="H16" s="199" t="s">
        <v>96</v>
      </c>
      <c r="I16" s="200"/>
      <c r="J16" s="200"/>
      <c r="K16" s="200"/>
      <c r="L16" s="200"/>
      <c r="M16" s="171">
        <f>G38</f>
        <v>165974912.12174958</v>
      </c>
      <c r="N16" s="54"/>
      <c r="O16" s="55"/>
      <c r="P16" s="18"/>
      <c r="Q16" s="18"/>
      <c r="R16" s="18"/>
      <c r="S16" s="18"/>
      <c r="T16" s="18"/>
      <c r="U16" s="18"/>
      <c r="V16" s="18"/>
      <c r="W16" s="18"/>
      <c r="AB16" s="41"/>
      <c r="AC16" s="37"/>
    </row>
    <row r="17" spans="1:30" x14ac:dyDescent="0.25">
      <c r="A17" s="135" t="s">
        <v>34</v>
      </c>
      <c r="B17" s="79" t="s">
        <v>22</v>
      </c>
      <c r="C17" s="79" t="s">
        <v>27</v>
      </c>
      <c r="D17" s="79" t="s">
        <v>23</v>
      </c>
      <c r="E17" s="223" t="s">
        <v>26</v>
      </c>
      <c r="F17" s="224"/>
      <c r="G17" s="117"/>
      <c r="H17" s="192" t="s">
        <v>97</v>
      </c>
      <c r="I17" s="193"/>
      <c r="J17" s="193"/>
      <c r="K17" s="193"/>
      <c r="L17" s="193"/>
      <c r="M17" s="155">
        <f>X38</f>
        <v>172244063.82845029</v>
      </c>
      <c r="N17" s="54"/>
      <c r="O17" s="55"/>
      <c r="P17" s="18"/>
      <c r="Q17" s="18"/>
      <c r="R17" s="18"/>
      <c r="S17" s="18"/>
      <c r="T17" s="18"/>
      <c r="U17" s="18"/>
      <c r="V17" s="18"/>
      <c r="W17" s="18"/>
      <c r="AB17" s="41"/>
      <c r="AC17" s="37"/>
    </row>
    <row r="18" spans="1:30" x14ac:dyDescent="0.25">
      <c r="A18" s="136" t="s">
        <v>48</v>
      </c>
      <c r="B18" s="97">
        <f>E13</f>
        <v>0.15</v>
      </c>
      <c r="C18" s="95">
        <f>E13</f>
        <v>0.15</v>
      </c>
      <c r="D18" s="94">
        <f>E13</f>
        <v>0.15</v>
      </c>
      <c r="E18" s="225">
        <f>D18</f>
        <v>0.15</v>
      </c>
      <c r="F18" s="225"/>
      <c r="G18" s="117"/>
      <c r="H18" s="195" t="s">
        <v>98</v>
      </c>
      <c r="I18" s="196"/>
      <c r="J18" s="196"/>
      <c r="K18" s="196"/>
      <c r="L18" s="196"/>
      <c r="M18" s="157">
        <f>M17-M16</f>
        <v>6269151.7067007124</v>
      </c>
      <c r="N18" s="54"/>
      <c r="O18" s="55"/>
      <c r="P18" s="18"/>
      <c r="Q18" s="18"/>
      <c r="R18" s="18"/>
      <c r="S18" s="18"/>
      <c r="T18" s="18"/>
      <c r="U18" s="18"/>
      <c r="V18" s="18"/>
      <c r="W18" s="18"/>
      <c r="AB18" s="41"/>
      <c r="AC18" s="37"/>
    </row>
    <row r="19" spans="1:30" ht="15.75" thickBot="1" x14ac:dyDescent="0.3">
      <c r="A19" s="164" t="s">
        <v>92</v>
      </c>
      <c r="B19" s="165">
        <f>C18</f>
        <v>0.15</v>
      </c>
      <c r="C19" s="166">
        <f>E14</f>
        <v>0.23</v>
      </c>
      <c r="D19" s="167">
        <f>C19*1.25</f>
        <v>0.28750000000000003</v>
      </c>
      <c r="E19" s="253">
        <f>IF(E$16=B$16,B19,IF(E$16=C$16,C19,D19))</f>
        <v>0.23</v>
      </c>
      <c r="F19" s="253"/>
      <c r="G19" s="110"/>
      <c r="H19" s="192" t="s">
        <v>99</v>
      </c>
      <c r="I19" s="193"/>
      <c r="J19" s="193"/>
      <c r="K19" s="193"/>
      <c r="L19" s="193"/>
      <c r="M19" s="156">
        <f>J38</f>
        <v>91856.582000000009</v>
      </c>
      <c r="N19" s="54"/>
      <c r="O19" s="55"/>
      <c r="P19" s="72"/>
      <c r="Q19" s="73"/>
      <c r="R19" s="72"/>
      <c r="S19" s="72"/>
      <c r="T19" s="72"/>
      <c r="U19" s="72"/>
      <c r="V19" s="72"/>
      <c r="W19" s="72"/>
      <c r="AB19" s="41"/>
      <c r="AC19" s="37"/>
    </row>
    <row r="20" spans="1:30" ht="15.75" thickTop="1" x14ac:dyDescent="0.25">
      <c r="A20" s="216" t="s">
        <v>32</v>
      </c>
      <c r="B20" s="217"/>
      <c r="C20" s="217"/>
      <c r="D20" s="218"/>
      <c r="E20" s="254">
        <f>M4*E11</f>
        <v>21016899.037701759</v>
      </c>
      <c r="F20" s="255"/>
      <c r="G20" s="110"/>
      <c r="H20" s="192" t="s">
        <v>100</v>
      </c>
      <c r="I20" s="193"/>
      <c r="J20" s="193"/>
      <c r="K20" s="193"/>
      <c r="L20" s="193"/>
      <c r="M20" s="156">
        <f>Y38</f>
        <v>112983.59586</v>
      </c>
      <c r="N20" s="54"/>
      <c r="O20" s="55"/>
      <c r="P20" s="72"/>
      <c r="Q20" s="73"/>
      <c r="R20" s="72"/>
      <c r="S20" s="72"/>
      <c r="T20" s="72"/>
      <c r="U20" s="72"/>
      <c r="V20" s="72"/>
      <c r="W20" s="72"/>
      <c r="AB20" s="41"/>
      <c r="AC20" s="37"/>
    </row>
    <row r="21" spans="1:30" x14ac:dyDescent="0.25">
      <c r="A21" s="187" t="s">
        <v>76</v>
      </c>
      <c r="B21" s="188"/>
      <c r="C21" s="188"/>
      <c r="D21" s="189"/>
      <c r="E21" s="219">
        <v>0.5</v>
      </c>
      <c r="F21" s="250"/>
      <c r="G21" s="110"/>
      <c r="H21" s="195" t="s">
        <v>101</v>
      </c>
      <c r="I21" s="196"/>
      <c r="J21" s="196"/>
      <c r="K21" s="196"/>
      <c r="L21" s="196"/>
      <c r="M21" s="172">
        <f>M20-M19</f>
        <v>21127.013859999992</v>
      </c>
      <c r="N21" s="54"/>
      <c r="O21" s="55"/>
      <c r="P21" s="72"/>
      <c r="Q21" s="73"/>
      <c r="R21" s="72"/>
      <c r="S21" s="72"/>
      <c r="T21" s="72"/>
      <c r="U21" s="72"/>
      <c r="V21" s="72"/>
      <c r="W21" s="72"/>
      <c r="AB21" s="41"/>
      <c r="AC21" s="37"/>
    </row>
    <row r="22" spans="1:30" x14ac:dyDescent="0.25">
      <c r="A22" s="187" t="s">
        <v>33</v>
      </c>
      <c r="B22" s="188"/>
      <c r="C22" s="188"/>
      <c r="D22" s="189"/>
      <c r="E22" s="228" t="s">
        <v>43</v>
      </c>
      <c r="F22" s="229"/>
      <c r="G22" s="110"/>
      <c r="H22" s="192" t="s">
        <v>103</v>
      </c>
      <c r="I22" s="193"/>
      <c r="J22" s="193"/>
      <c r="K22" s="193"/>
      <c r="L22" s="193"/>
      <c r="M22" s="156">
        <f>M19/(M16/1000000)</f>
        <v>553.43654547392885</v>
      </c>
      <c r="N22" s="54"/>
      <c r="O22" s="55"/>
      <c r="P22" s="72"/>
      <c r="Q22" s="73"/>
      <c r="R22" s="72"/>
      <c r="S22" s="72"/>
      <c r="T22" s="72"/>
      <c r="U22" s="72"/>
      <c r="V22" s="72"/>
      <c r="W22" s="72"/>
      <c r="AB22" s="41"/>
      <c r="AC22" s="37"/>
    </row>
    <row r="23" spans="1:30" ht="15.75" customHeight="1" x14ac:dyDescent="0.25">
      <c r="A23" s="187" t="s">
        <v>64</v>
      </c>
      <c r="B23" s="188"/>
      <c r="C23" s="188"/>
      <c r="D23" s="189"/>
      <c r="E23" s="203">
        <f>Y39</f>
        <v>162999.83285999999</v>
      </c>
      <c r="F23" s="204"/>
      <c r="G23" s="110"/>
      <c r="H23" s="192" t="s">
        <v>104</v>
      </c>
      <c r="I23" s="193"/>
      <c r="J23" s="193"/>
      <c r="K23" s="193"/>
      <c r="L23" s="193"/>
      <c r="M23" s="156">
        <f>M20/(M17/1000000)</f>
        <v>655.95059329608091</v>
      </c>
      <c r="N23" s="54"/>
      <c r="O23" s="55"/>
      <c r="P23" s="18"/>
      <c r="Q23" s="18"/>
      <c r="R23" s="18"/>
      <c r="S23" s="18"/>
      <c r="T23" s="18"/>
      <c r="U23" s="18"/>
      <c r="V23" s="18"/>
      <c r="W23" s="18"/>
      <c r="AA23" s="37"/>
      <c r="AB23" s="41"/>
      <c r="AC23" s="37"/>
    </row>
    <row r="24" spans="1:30" x14ac:dyDescent="0.25">
      <c r="A24" s="137" t="s">
        <v>3</v>
      </c>
      <c r="B24" s="137" t="s">
        <v>45</v>
      </c>
      <c r="C24" s="137" t="s">
        <v>77</v>
      </c>
      <c r="D24" s="137" t="s">
        <v>31</v>
      </c>
      <c r="E24" s="251" t="s">
        <v>15</v>
      </c>
      <c r="F24" s="252"/>
      <c r="G24" s="110"/>
      <c r="H24" s="195" t="s">
        <v>102</v>
      </c>
      <c r="I24" s="196"/>
      <c r="J24" s="196"/>
      <c r="K24" s="196"/>
      <c r="L24" s="196"/>
      <c r="M24" s="161">
        <f>(M23-M22)/M22</f>
        <v>0.18523180057501509</v>
      </c>
      <c r="N24" s="54"/>
      <c r="O24" s="55"/>
      <c r="P24" s="18"/>
      <c r="Q24" s="18"/>
      <c r="R24" s="18"/>
      <c r="S24" s="18"/>
      <c r="T24" s="18"/>
      <c r="U24" s="18"/>
      <c r="V24" s="18"/>
      <c r="W24" s="18"/>
      <c r="AB24" s="41"/>
      <c r="AC24" s="37"/>
    </row>
    <row r="25" spans="1:30" x14ac:dyDescent="0.25">
      <c r="A25" s="138" t="s">
        <v>67</v>
      </c>
      <c r="B25" s="100">
        <f>E5*E11</f>
        <v>94.500445313407198</v>
      </c>
      <c r="C25" s="101">
        <f>M4*E11/Y39/E16</f>
        <v>105.68701895014756</v>
      </c>
      <c r="D25" s="102">
        <f>C25*1.2</f>
        <v>126.82442274017707</v>
      </c>
      <c r="E25" s="228">
        <f>IF(E22="Yes",C25)</f>
        <v>105.68701895014756</v>
      </c>
      <c r="F25" s="229"/>
      <c r="G25" s="110"/>
      <c r="H25" s="192" t="s">
        <v>120</v>
      </c>
      <c r="I25" s="193"/>
      <c r="J25" s="193"/>
      <c r="K25" s="193"/>
      <c r="L25" s="193"/>
      <c r="M25" s="153">
        <f>X47</f>
        <v>1004.768970081702</v>
      </c>
      <c r="N25" s="54"/>
      <c r="O25" s="55"/>
      <c r="P25" s="18"/>
      <c r="Q25" s="18"/>
      <c r="R25" s="18"/>
      <c r="S25" s="18"/>
      <c r="T25" s="18"/>
      <c r="U25" s="18"/>
      <c r="V25" s="18"/>
      <c r="W25" s="18"/>
      <c r="AB25" s="41"/>
      <c r="AC25" s="37"/>
    </row>
    <row r="26" spans="1:30" ht="15.75" thickBot="1" x14ac:dyDescent="0.3">
      <c r="A26" s="164" t="s">
        <v>68</v>
      </c>
      <c r="B26" s="168"/>
      <c r="C26" s="168"/>
      <c r="D26" s="169"/>
      <c r="E26" s="201">
        <v>1</v>
      </c>
      <c r="F26" s="202"/>
      <c r="G26" s="110"/>
      <c r="H26" s="192" t="s">
        <v>121</v>
      </c>
      <c r="I26" s="193"/>
      <c r="J26" s="193"/>
      <c r="K26" s="193"/>
      <c r="L26" s="193"/>
      <c r="M26" s="155">
        <f>X54</f>
        <v>986.71638859315476</v>
      </c>
      <c r="N26" s="54"/>
      <c r="O26" s="55"/>
      <c r="P26" s="70"/>
      <c r="Q26" s="70"/>
      <c r="R26" s="70"/>
      <c r="S26" s="70"/>
      <c r="T26" s="70"/>
      <c r="U26" s="70"/>
      <c r="V26" s="70"/>
      <c r="W26" s="70"/>
      <c r="AA26" s="37"/>
      <c r="AB26" s="41"/>
      <c r="AC26" s="37"/>
    </row>
    <row r="27" spans="1:30" ht="15.75" thickTop="1" x14ac:dyDescent="0.25">
      <c r="A27" s="162" t="s">
        <v>44</v>
      </c>
      <c r="B27" s="163" t="s">
        <v>2</v>
      </c>
      <c r="C27" s="163" t="s">
        <v>7</v>
      </c>
      <c r="D27" s="163" t="s">
        <v>47</v>
      </c>
      <c r="E27" s="185" t="s">
        <v>46</v>
      </c>
      <c r="F27" s="186"/>
      <c r="G27" s="110"/>
      <c r="H27" s="195" t="s">
        <v>122</v>
      </c>
      <c r="I27" s="196"/>
      <c r="J27" s="196"/>
      <c r="K27" s="196"/>
      <c r="L27" s="196"/>
      <c r="M27" s="161">
        <f>(M26-M25)/M25</f>
        <v>-1.7966897890048638E-2</v>
      </c>
      <c r="N27" s="54"/>
      <c r="O27" s="55"/>
      <c r="P27" s="70"/>
      <c r="Q27" s="70"/>
      <c r="R27" s="70"/>
      <c r="S27" s="70"/>
      <c r="T27" s="70"/>
      <c r="U27" s="70"/>
      <c r="V27" s="70"/>
      <c r="W27" s="70"/>
      <c r="AA27" s="37"/>
      <c r="AB27" s="41"/>
      <c r="AC27" s="37"/>
    </row>
    <row r="28" spans="1:30" x14ac:dyDescent="0.25">
      <c r="A28" s="118" t="s">
        <v>55</v>
      </c>
      <c r="B28" s="119">
        <f>N37</f>
        <v>105.68701895014756</v>
      </c>
      <c r="C28" s="120">
        <v>1</v>
      </c>
      <c r="D28" s="120">
        <f>U37</f>
        <v>1.0694999999999999</v>
      </c>
      <c r="E28" s="190">
        <f>B28*C28*D28</f>
        <v>113.0322667671828</v>
      </c>
      <c r="F28" s="191"/>
      <c r="G28" s="71"/>
      <c r="H28" s="111"/>
      <c r="I28" s="111"/>
      <c r="J28" s="111"/>
      <c r="K28" s="111"/>
      <c r="L28" s="111"/>
      <c r="M28" s="113"/>
      <c r="N28" s="54"/>
      <c r="O28" s="55"/>
      <c r="P28" s="70"/>
      <c r="Q28" s="70"/>
      <c r="R28" s="70"/>
      <c r="S28" s="70"/>
      <c r="T28" s="70"/>
      <c r="U28" s="70"/>
      <c r="V28" s="70"/>
      <c r="W28" s="70"/>
      <c r="AA28" s="37"/>
      <c r="AB28" s="41"/>
      <c r="AC28" s="37"/>
    </row>
    <row r="29" spans="1:30" x14ac:dyDescent="0.25">
      <c r="A29" s="118" t="s">
        <v>94</v>
      </c>
      <c r="B29" s="119">
        <f>B28</f>
        <v>105.68701895014756</v>
      </c>
      <c r="C29" s="120">
        <f>E16</f>
        <v>1.22</v>
      </c>
      <c r="D29" s="120">
        <f>U38</f>
        <v>0.64329000000000003</v>
      </c>
      <c r="E29" s="190">
        <f>B29*C29*D29</f>
        <v>82.944630952937317</v>
      </c>
      <c r="F29" s="191"/>
      <c r="G29" s="71"/>
      <c r="H29" s="109"/>
      <c r="I29" s="109"/>
      <c r="J29" s="109"/>
      <c r="K29" s="109"/>
      <c r="L29" s="109"/>
      <c r="M29" s="109"/>
      <c r="N29" s="112"/>
      <c r="O29" s="54"/>
      <c r="P29" s="55"/>
      <c r="Q29" s="70"/>
      <c r="R29" s="70"/>
      <c r="S29" s="70"/>
      <c r="T29" s="70"/>
      <c r="U29" s="70"/>
      <c r="V29" s="70"/>
      <c r="W29" s="70"/>
      <c r="X29" s="70"/>
      <c r="Y29"/>
      <c r="Z29" s="41"/>
      <c r="AA29" s="37"/>
      <c r="AB29" s="37"/>
      <c r="AC29" s="41"/>
      <c r="AD29" s="37"/>
    </row>
    <row r="30" spans="1:30" x14ac:dyDescent="0.25">
      <c r="A30" s="192" t="s">
        <v>95</v>
      </c>
      <c r="B30" s="193"/>
      <c r="C30" s="193"/>
      <c r="D30" s="193"/>
      <c r="E30" s="208">
        <f>(E28-E29)/E28</f>
        <v>0.26618625525946699</v>
      </c>
      <c r="F30" s="209"/>
      <c r="G30" s="132"/>
      <c r="H30" s="109"/>
      <c r="I30" s="109"/>
      <c r="J30" s="109"/>
      <c r="K30" s="109"/>
      <c r="L30" s="109"/>
      <c r="M30" s="109"/>
      <c r="N30" s="112"/>
      <c r="O30" s="54"/>
      <c r="P30" s="55"/>
      <c r="Q30" s="70"/>
      <c r="R30" s="70"/>
      <c r="S30" s="70"/>
      <c r="T30" s="70"/>
      <c r="U30" s="70"/>
      <c r="V30" s="70"/>
      <c r="W30" s="70"/>
      <c r="X30" s="70"/>
      <c r="Y30"/>
      <c r="Z30" s="41"/>
      <c r="AA30" s="37"/>
      <c r="AB30" s="37"/>
      <c r="AC30" s="41"/>
      <c r="AD30" s="37"/>
    </row>
    <row r="31" spans="1:30" s="75" customFormat="1" x14ac:dyDescent="0.25">
      <c r="I31" s="122"/>
      <c r="P31" s="123"/>
      <c r="R31" s="124"/>
      <c r="T31" s="122"/>
      <c r="U31" s="125"/>
      <c r="W31" s="122"/>
      <c r="X31" s="125"/>
    </row>
    <row r="32" spans="1:30" s="75" customFormat="1" ht="15.75" thickBot="1" x14ac:dyDescent="0.3">
      <c r="A32" s="74"/>
      <c r="B32" s="74"/>
      <c r="C32" s="74"/>
      <c r="D32" s="74"/>
      <c r="E32" s="74"/>
      <c r="F32" s="74"/>
      <c r="G32" s="74"/>
      <c r="H32" s="74"/>
      <c r="I32" s="122"/>
      <c r="M32" s="74"/>
      <c r="N32" s="74"/>
      <c r="O32" s="74"/>
      <c r="P32" s="123"/>
      <c r="R32" s="124"/>
      <c r="T32" s="122"/>
      <c r="U32" s="125"/>
      <c r="W32" s="122"/>
      <c r="X32" s="125"/>
    </row>
    <row r="33" spans="1:32" ht="15.75" thickBot="1" x14ac:dyDescent="0.3">
      <c r="A33" s="205" t="s">
        <v>19</v>
      </c>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7"/>
    </row>
    <row r="34" spans="1:32" ht="9" customHeight="1" x14ac:dyDescent="0.25">
      <c r="A34" s="18"/>
      <c r="B34" s="20"/>
      <c r="F34" s="127"/>
      <c r="G34" s="127"/>
      <c r="H34" s="127"/>
      <c r="I34" s="127"/>
      <c r="J34" s="128"/>
      <c r="N34" s="18"/>
      <c r="O34" s="18"/>
      <c r="P34" s="18"/>
      <c r="Q34" s="18"/>
      <c r="R34" s="57"/>
      <c r="S34" s="18"/>
      <c r="T34" s="61"/>
      <c r="U34" s="18"/>
      <c r="V34" s="48"/>
      <c r="W34" s="51"/>
    </row>
    <row r="35" spans="1:32" s="11" customFormat="1" x14ac:dyDescent="0.25">
      <c r="A35" s="19"/>
      <c r="B35" s="30" t="s">
        <v>5</v>
      </c>
      <c r="C35" s="182" t="s">
        <v>4</v>
      </c>
      <c r="D35" s="183"/>
      <c r="E35" s="183"/>
      <c r="F35" s="183"/>
      <c r="G35" s="183"/>
      <c r="H35" s="183"/>
      <c r="I35" s="183"/>
      <c r="J35" s="183"/>
      <c r="K35" s="184"/>
      <c r="L35" s="182" t="s">
        <v>3</v>
      </c>
      <c r="M35" s="183"/>
      <c r="N35" s="183"/>
      <c r="O35" s="183"/>
      <c r="P35" s="183"/>
      <c r="Q35" s="183"/>
      <c r="R35" s="183"/>
      <c r="S35" s="183"/>
      <c r="T35" s="183"/>
      <c r="U35" s="183"/>
      <c r="V35" s="183"/>
      <c r="W35" s="183"/>
      <c r="X35" s="183"/>
      <c r="Y35" s="183"/>
      <c r="Z35" s="184"/>
    </row>
    <row r="36" spans="1:32" s="10" customFormat="1" ht="28.5" customHeight="1" x14ac:dyDescent="0.25">
      <c r="A36" s="6" t="s">
        <v>20</v>
      </c>
      <c r="B36" s="53" t="s">
        <v>10</v>
      </c>
      <c r="C36" s="82" t="s">
        <v>2</v>
      </c>
      <c r="D36" s="90" t="s">
        <v>107</v>
      </c>
      <c r="E36" s="83" t="s">
        <v>0</v>
      </c>
      <c r="F36" s="84" t="s">
        <v>11</v>
      </c>
      <c r="G36" s="179" t="s">
        <v>111</v>
      </c>
      <c r="H36" s="180"/>
      <c r="I36" s="85" t="s">
        <v>57</v>
      </c>
      <c r="J36" s="86" t="s">
        <v>65</v>
      </c>
      <c r="K36" s="87" t="s">
        <v>80</v>
      </c>
      <c r="L36" s="151" t="s">
        <v>108</v>
      </c>
      <c r="M36" s="84" t="s">
        <v>106</v>
      </c>
      <c r="N36" s="53" t="s">
        <v>105</v>
      </c>
      <c r="O36" s="90" t="s">
        <v>107</v>
      </c>
      <c r="P36" s="53" t="s">
        <v>109</v>
      </c>
      <c r="Q36" s="88" t="s">
        <v>57</v>
      </c>
      <c r="R36" s="89" t="s">
        <v>16</v>
      </c>
      <c r="S36" s="90" t="s">
        <v>66</v>
      </c>
      <c r="T36" s="91" t="s">
        <v>17</v>
      </c>
      <c r="U36" s="53" t="s">
        <v>18</v>
      </c>
      <c r="V36" s="92" t="s">
        <v>12</v>
      </c>
      <c r="W36" s="93" t="s">
        <v>110</v>
      </c>
      <c r="X36" s="84" t="s">
        <v>81</v>
      </c>
      <c r="Y36" s="86" t="s">
        <v>65</v>
      </c>
      <c r="Z36" s="87" t="s">
        <v>80</v>
      </c>
      <c r="AB36" s="107"/>
      <c r="AC36" s="107"/>
      <c r="AD36" s="107"/>
      <c r="AE36" s="107"/>
      <c r="AF36" s="108"/>
    </row>
    <row r="37" spans="1:32" s="1" customFormat="1" x14ac:dyDescent="0.25">
      <c r="A37" s="22" t="s">
        <v>49</v>
      </c>
      <c r="B37" s="45">
        <v>46766</v>
      </c>
      <c r="C37" s="17">
        <v>1</v>
      </c>
      <c r="D37" s="81">
        <v>0</v>
      </c>
      <c r="E37" s="46">
        <f t="shared" ref="E37:E38" si="0">C37+D37</f>
        <v>1</v>
      </c>
      <c r="F37" s="2">
        <f>E$5</f>
        <v>945.00445313407192</v>
      </c>
      <c r="G37" s="175">
        <f>E37*F37*B37</f>
        <v>44194078.255268008</v>
      </c>
      <c r="H37" s="176"/>
      <c r="I37" s="65">
        <f>E8</f>
        <v>0.93</v>
      </c>
      <c r="J37" s="42">
        <f>B37*I37</f>
        <v>43492.380000000005</v>
      </c>
      <c r="K37" s="76">
        <f>J37/(G37/1000000)</f>
        <v>984.12234663624054</v>
      </c>
      <c r="L37" s="35">
        <f>F37*(1-E$11*E$21)</f>
        <v>897.75423047736831</v>
      </c>
      <c r="M37" s="25">
        <f>L37*B37</f>
        <v>41984374.342504606</v>
      </c>
      <c r="N37" s="15">
        <f>IF(E$22="Yes",C$25/E$26,E$25/E$26)</f>
        <v>105.68701895014756</v>
      </c>
      <c r="O37" s="15">
        <v>0</v>
      </c>
      <c r="P37" s="15">
        <f>N37+O37</f>
        <v>105.68701895014756</v>
      </c>
      <c r="Q37" s="26">
        <f>I37*(1+S1)</f>
        <v>0.93</v>
      </c>
      <c r="R37" s="58">
        <f>E$26</f>
        <v>1</v>
      </c>
      <c r="S37" s="31">
        <f>R37*Q37</f>
        <v>0.93</v>
      </c>
      <c r="T37" s="39">
        <f>E$18</f>
        <v>0.15</v>
      </c>
      <c r="U37" s="32">
        <f>S37*(1+T37)</f>
        <v>1.0694999999999999</v>
      </c>
      <c r="V37" s="42">
        <f>B37*U37</f>
        <v>50016.236999999994</v>
      </c>
      <c r="W37" s="12">
        <f>P37*V37</f>
        <v>5286066.9876340711</v>
      </c>
      <c r="X37" s="2">
        <f>M37+W37</f>
        <v>47270441.330138676</v>
      </c>
      <c r="Y37" s="52">
        <f>V37/E$26</f>
        <v>50016.236999999994</v>
      </c>
      <c r="Z37" s="76">
        <f>Y37/(X37/1000000)</f>
        <v>1058.0869480503593</v>
      </c>
      <c r="AB37" s="103"/>
      <c r="AC37" s="104"/>
      <c r="AD37" s="105"/>
      <c r="AE37" s="106"/>
      <c r="AF37" s="106"/>
    </row>
    <row r="38" spans="1:32" s="1" customFormat="1" x14ac:dyDescent="0.25">
      <c r="A38" s="22" t="s">
        <v>91</v>
      </c>
      <c r="B38" s="45">
        <v>175634</v>
      </c>
      <c r="C38" s="17">
        <v>1</v>
      </c>
      <c r="D38" s="81">
        <f>E$6-1</f>
        <v>0</v>
      </c>
      <c r="E38" s="46">
        <f t="shared" si="0"/>
        <v>1</v>
      </c>
      <c r="F38" s="2">
        <f>E$5</f>
        <v>945.00445313407192</v>
      </c>
      <c r="G38" s="175">
        <f>E38*F38*B38</f>
        <v>165974912.12174958</v>
      </c>
      <c r="H38" s="176"/>
      <c r="I38" s="65">
        <f>E9</f>
        <v>0.52300000000000002</v>
      </c>
      <c r="J38" s="42">
        <f>B38*I38</f>
        <v>91856.582000000009</v>
      </c>
      <c r="K38" s="76">
        <f>J38/(G38/1000000)</f>
        <v>553.43654547392885</v>
      </c>
      <c r="L38" s="35">
        <f>F38*(1-E$11*E$21)</f>
        <v>897.75423047736831</v>
      </c>
      <c r="M38" s="25">
        <f>L38*B38</f>
        <v>157676166.5156621</v>
      </c>
      <c r="N38" s="15">
        <f>N37</f>
        <v>105.68701895014756</v>
      </c>
      <c r="O38" s="15">
        <f>(E$16-1)*N38</f>
        <v>23.251144169032461</v>
      </c>
      <c r="P38" s="15">
        <f>N38+O38</f>
        <v>128.93816311918002</v>
      </c>
      <c r="Q38" s="26">
        <f>I38*(1+S1)</f>
        <v>0.52300000000000002</v>
      </c>
      <c r="R38" s="58">
        <f>E$26</f>
        <v>1</v>
      </c>
      <c r="S38" s="31">
        <f>R38*Q38</f>
        <v>0.52300000000000002</v>
      </c>
      <c r="T38" s="39">
        <f>E$19</f>
        <v>0.23</v>
      </c>
      <c r="U38" s="32">
        <f>S38*(1+T38)</f>
        <v>0.64329000000000003</v>
      </c>
      <c r="V38" s="42">
        <f>B38*U38</f>
        <v>112983.59586</v>
      </c>
      <c r="W38" s="12">
        <f>P38*V38</f>
        <v>14567897.312788192</v>
      </c>
      <c r="X38" s="2">
        <f>M38+W38</f>
        <v>172244063.82845029</v>
      </c>
      <c r="Y38" s="52">
        <f>V38/E$26</f>
        <v>112983.59586</v>
      </c>
      <c r="Z38" s="76">
        <f>Y38/(X38/1000000)</f>
        <v>655.95059329608091</v>
      </c>
      <c r="AB38" s="103"/>
      <c r="AC38" s="104"/>
      <c r="AD38" s="144"/>
      <c r="AE38" s="145"/>
      <c r="AF38" s="145"/>
    </row>
    <row r="39" spans="1:32" s="10" customFormat="1" x14ac:dyDescent="0.25">
      <c r="A39" s="4" t="s">
        <v>0</v>
      </c>
      <c r="B39" s="36">
        <f>SUM(B37:B38)</f>
        <v>222400</v>
      </c>
      <c r="C39" s="34"/>
      <c r="D39" s="79"/>
      <c r="E39" s="7"/>
      <c r="F39" s="4"/>
      <c r="G39" s="173">
        <f>SUM(G37:G38)</f>
        <v>210168990.37701759</v>
      </c>
      <c r="H39" s="174"/>
      <c r="I39" s="66">
        <f>J39/B39</f>
        <v>0.60858346223021587</v>
      </c>
      <c r="J39" s="40">
        <f>SUM(J37:J38)</f>
        <v>135348.962</v>
      </c>
      <c r="K39" s="77">
        <f>J39/(G39/1000000)</f>
        <v>644.00062900430953</v>
      </c>
      <c r="L39" s="150"/>
      <c r="M39" s="5">
        <f>SUM(M37:M38)</f>
        <v>199660540.85816669</v>
      </c>
      <c r="N39" s="4"/>
      <c r="O39" s="4"/>
      <c r="P39" s="4"/>
      <c r="Q39" s="4"/>
      <c r="R39" s="8"/>
      <c r="S39" s="4"/>
      <c r="T39" s="62"/>
      <c r="U39" s="7"/>
      <c r="V39" s="13">
        <f>SUM(V37:V38)</f>
        <v>162999.83285999999</v>
      </c>
      <c r="W39" s="5">
        <f>SUM(W37:W38)</f>
        <v>19853964.300422262</v>
      </c>
      <c r="X39" s="5">
        <f>SUM(X37:X38)</f>
        <v>219514505.15858898</v>
      </c>
      <c r="Y39" s="40">
        <f>V39/E$26</f>
        <v>162999.83285999999</v>
      </c>
      <c r="Z39" s="77">
        <f>Y39/(X39/1000000)</f>
        <v>742.54697994667924</v>
      </c>
      <c r="AD39" s="146"/>
      <c r="AE39" s="147"/>
      <c r="AF39" s="147"/>
    </row>
    <row r="40" spans="1:32" s="10" customFormat="1" x14ac:dyDescent="0.25">
      <c r="A40" s="4" t="s">
        <v>1</v>
      </c>
      <c r="B40" s="28"/>
      <c r="C40" s="14"/>
      <c r="D40" s="80"/>
      <c r="E40" s="64"/>
      <c r="F40" s="5"/>
      <c r="G40" s="173">
        <f>G39/$B39</f>
        <v>945.00445313407192</v>
      </c>
      <c r="H40" s="174"/>
      <c r="I40" s="68"/>
      <c r="J40" s="40"/>
      <c r="K40" s="16"/>
      <c r="L40" s="9"/>
      <c r="M40" s="5">
        <f>M39/$B39</f>
        <v>897.7542304773682</v>
      </c>
      <c r="N40" s="27"/>
      <c r="O40" s="7"/>
      <c r="P40" s="7"/>
      <c r="Q40" s="7"/>
      <c r="R40" s="59"/>
      <c r="S40" s="8"/>
      <c r="T40" s="44"/>
      <c r="U40" s="8"/>
      <c r="V40" s="13"/>
      <c r="W40" s="5">
        <f>W39/$B39</f>
        <v>89.271422214128876</v>
      </c>
      <c r="X40" s="5">
        <f>X39/$B39</f>
        <v>987.02565269149716</v>
      </c>
      <c r="Y40" s="40"/>
      <c r="Z40" s="16"/>
      <c r="AD40" s="148"/>
      <c r="AE40" s="148"/>
      <c r="AF40" s="148"/>
    </row>
    <row r="41" spans="1:32" x14ac:dyDescent="0.25">
      <c r="E41" s="154"/>
      <c r="F41" s="154"/>
      <c r="G41" s="181"/>
      <c r="H41" s="181"/>
      <c r="I41" s="154"/>
      <c r="AD41" s="75"/>
      <c r="AE41" s="75"/>
      <c r="AF41" s="75"/>
    </row>
    <row r="42" spans="1:32" s="11" customFormat="1" x14ac:dyDescent="0.25">
      <c r="A42" s="19"/>
      <c r="B42" s="23" t="s">
        <v>5</v>
      </c>
      <c r="C42" s="182" t="s">
        <v>4</v>
      </c>
      <c r="D42" s="183"/>
      <c r="E42" s="183"/>
      <c r="F42" s="183"/>
      <c r="G42" s="183"/>
      <c r="H42" s="183"/>
      <c r="I42" s="183"/>
      <c r="J42" s="183"/>
      <c r="K42" s="184"/>
      <c r="L42" s="182" t="s">
        <v>3</v>
      </c>
      <c r="M42" s="183"/>
      <c r="N42" s="183"/>
      <c r="O42" s="183"/>
      <c r="P42" s="183"/>
      <c r="Q42" s="183"/>
      <c r="R42" s="183"/>
      <c r="S42" s="183"/>
      <c r="T42" s="183"/>
      <c r="U42" s="183"/>
      <c r="V42" s="183"/>
      <c r="W42" s="183"/>
      <c r="X42" s="183"/>
      <c r="Y42" s="183"/>
      <c r="Z42" s="184"/>
      <c r="AD42" s="149"/>
      <c r="AE42" s="149"/>
      <c r="AF42" s="149"/>
    </row>
    <row r="43" spans="1:32" s="10" customFormat="1" ht="29.25" customHeight="1" x14ac:dyDescent="0.25">
      <c r="A43" s="6" t="s">
        <v>8</v>
      </c>
      <c r="B43" s="53" t="s">
        <v>10</v>
      </c>
      <c r="C43" s="82" t="s">
        <v>2</v>
      </c>
      <c r="D43" s="90" t="s">
        <v>107</v>
      </c>
      <c r="E43" s="83" t="s">
        <v>0</v>
      </c>
      <c r="F43" s="84" t="s">
        <v>11</v>
      </c>
      <c r="G43" s="179" t="s">
        <v>111</v>
      </c>
      <c r="H43" s="180"/>
      <c r="I43" s="85" t="s">
        <v>57</v>
      </c>
      <c r="J43" s="86" t="s">
        <v>65</v>
      </c>
      <c r="K43" s="87" t="s">
        <v>80</v>
      </c>
      <c r="L43" s="151" t="s">
        <v>108</v>
      </c>
      <c r="M43" s="84" t="s">
        <v>106</v>
      </c>
      <c r="N43" s="53" t="s">
        <v>105</v>
      </c>
      <c r="O43" s="90" t="s">
        <v>107</v>
      </c>
      <c r="P43" s="53" t="s">
        <v>109</v>
      </c>
      <c r="Q43" s="88" t="s">
        <v>57</v>
      </c>
      <c r="R43" s="89" t="s">
        <v>16</v>
      </c>
      <c r="S43" s="90" t="s">
        <v>66</v>
      </c>
      <c r="T43" s="91" t="s">
        <v>17</v>
      </c>
      <c r="U43" s="53" t="s">
        <v>18</v>
      </c>
      <c r="V43" s="92" t="s">
        <v>12</v>
      </c>
      <c r="W43" s="93" t="s">
        <v>110</v>
      </c>
      <c r="X43" s="84" t="s">
        <v>81</v>
      </c>
      <c r="Y43" s="86" t="s">
        <v>65</v>
      </c>
      <c r="Z43" s="87" t="s">
        <v>80</v>
      </c>
    </row>
    <row r="44" spans="1:32" x14ac:dyDescent="0.25">
      <c r="A44" s="3" t="s">
        <v>49</v>
      </c>
      <c r="B44" s="63">
        <v>4000</v>
      </c>
      <c r="C44" s="17">
        <v>1</v>
      </c>
      <c r="D44" s="81">
        <v>0</v>
      </c>
      <c r="E44" s="46">
        <f t="shared" ref="E44" si="1">C44+D44</f>
        <v>1</v>
      </c>
      <c r="F44" s="2">
        <f>E$5</f>
        <v>945.00445313407192</v>
      </c>
      <c r="G44" s="175">
        <f>E44*F44*B44</f>
        <v>3780017.8125362876</v>
      </c>
      <c r="H44" s="176"/>
      <c r="I44" s="65">
        <f>E8</f>
        <v>0.93</v>
      </c>
      <c r="J44" s="42">
        <f>B44*I44</f>
        <v>3720</v>
      </c>
      <c r="K44" s="76">
        <f>J44/(G44/1000000)</f>
        <v>984.12234663624054</v>
      </c>
      <c r="L44" s="35">
        <f>F44*(1-E$11*E$21)</f>
        <v>897.75423047736831</v>
      </c>
      <c r="M44" s="25">
        <f>L44*B44</f>
        <v>3591016.9219094734</v>
      </c>
      <c r="N44" s="15">
        <f>N37</f>
        <v>105.68701895014756</v>
      </c>
      <c r="O44" s="15">
        <v>0</v>
      </c>
      <c r="P44" s="15">
        <f>N44+O44</f>
        <v>105.68701895014756</v>
      </c>
      <c r="Q44" s="26">
        <f>Q37</f>
        <v>0.93</v>
      </c>
      <c r="R44" s="58">
        <f>E$26</f>
        <v>1</v>
      </c>
      <c r="S44" s="31">
        <f>R44*Q44</f>
        <v>0.93</v>
      </c>
      <c r="T44" s="39">
        <f>E$18</f>
        <v>0.15</v>
      </c>
      <c r="U44" s="32">
        <f>S44*(1+T44)</f>
        <v>1.0694999999999999</v>
      </c>
      <c r="V44" s="42">
        <f>B44*U44</f>
        <v>4278</v>
      </c>
      <c r="W44" s="12">
        <f>P44*V44</f>
        <v>452129.06706873124</v>
      </c>
      <c r="X44" s="2">
        <f>M44+W44</f>
        <v>4043145.9889782048</v>
      </c>
      <c r="Y44" s="52">
        <f>V44/E$26</f>
        <v>4278</v>
      </c>
      <c r="Z44" s="76">
        <f>Y44/(X44/1000000)</f>
        <v>1058.0869480503591</v>
      </c>
    </row>
    <row r="45" spans="1:32" x14ac:dyDescent="0.25">
      <c r="A45" s="3" t="s">
        <v>91</v>
      </c>
      <c r="B45" s="63">
        <v>1000</v>
      </c>
      <c r="C45" s="17">
        <v>1</v>
      </c>
      <c r="D45" s="81">
        <f>E$6-1</f>
        <v>0</v>
      </c>
      <c r="E45" s="46">
        <f t="shared" ref="E45" si="2">C45+D45</f>
        <v>1</v>
      </c>
      <c r="F45" s="2">
        <f>E$5</f>
        <v>945.00445313407192</v>
      </c>
      <c r="G45" s="175">
        <f>E45*F45*B45</f>
        <v>945004.4531340719</v>
      </c>
      <c r="H45" s="176"/>
      <c r="I45" s="65">
        <f>E9</f>
        <v>0.52300000000000002</v>
      </c>
      <c r="J45" s="42">
        <f>B45*I45</f>
        <v>523</v>
      </c>
      <c r="K45" s="76">
        <f>J45/(G45/1000000)</f>
        <v>553.43654547392885</v>
      </c>
      <c r="L45" s="35">
        <f>F45*(1-E$11*E$21)</f>
        <v>897.75423047736831</v>
      </c>
      <c r="M45" s="25">
        <f>L45*B45</f>
        <v>897754.23047736834</v>
      </c>
      <c r="N45" s="15">
        <f>N38</f>
        <v>105.68701895014756</v>
      </c>
      <c r="O45" s="15">
        <f>(E$16-1)*N45</f>
        <v>23.251144169032461</v>
      </c>
      <c r="P45" s="15">
        <f>N45+O45</f>
        <v>128.93816311918002</v>
      </c>
      <c r="Q45" s="26">
        <f>Q38</f>
        <v>0.52300000000000002</v>
      </c>
      <c r="R45" s="58">
        <f>E$26</f>
        <v>1</v>
      </c>
      <c r="S45" s="31">
        <f>R45*Q45</f>
        <v>0.52300000000000002</v>
      </c>
      <c r="T45" s="39">
        <f>E$19</f>
        <v>0.23</v>
      </c>
      <c r="U45" s="32">
        <f>S45*(1+T45)</f>
        <v>0.64329000000000003</v>
      </c>
      <c r="V45" s="42">
        <f>B45*U45</f>
        <v>643.29000000000008</v>
      </c>
      <c r="W45" s="12">
        <f>P45*V45</f>
        <v>82944.630952937325</v>
      </c>
      <c r="X45" s="2">
        <f>M45+W45</f>
        <v>980698.86143030564</v>
      </c>
      <c r="Y45" s="52">
        <f>V45/E$26</f>
        <v>643.29000000000008</v>
      </c>
      <c r="Z45" s="76">
        <f>Y45/(X45/1000000)</f>
        <v>655.95059329608102</v>
      </c>
    </row>
    <row r="46" spans="1:32" s="10" customFormat="1" x14ac:dyDescent="0.25">
      <c r="A46" s="4" t="s">
        <v>0</v>
      </c>
      <c r="B46" s="28">
        <f>SUM(B44:B45)</f>
        <v>5000</v>
      </c>
      <c r="C46" s="14"/>
      <c r="D46" s="80"/>
      <c r="E46" s="64"/>
      <c r="F46" s="5"/>
      <c r="G46" s="173">
        <f>SUM(G44:G45)</f>
        <v>4725022.2656703591</v>
      </c>
      <c r="H46" s="174"/>
      <c r="I46" s="66">
        <f>J46/B46</f>
        <v>0.84860000000000002</v>
      </c>
      <c r="J46" s="40">
        <f>SUM(J44:J45)</f>
        <v>4243</v>
      </c>
      <c r="K46" s="77">
        <f>J46/(G46/1000000)</f>
        <v>897.98518640377813</v>
      </c>
      <c r="L46" s="150"/>
      <c r="M46" s="5">
        <f>SUM(M44:M45)</f>
        <v>4488771.1523868414</v>
      </c>
      <c r="N46" s="27"/>
      <c r="O46" s="7"/>
      <c r="P46" s="7"/>
      <c r="Q46" s="7"/>
      <c r="R46" s="59"/>
      <c r="S46" s="13"/>
      <c r="T46" s="44"/>
      <c r="U46" s="13"/>
      <c r="V46" s="13">
        <f>SUM(V44:V45)</f>
        <v>4921.29</v>
      </c>
      <c r="W46" s="5">
        <f>SUM(W44:W45)</f>
        <v>535073.69802166859</v>
      </c>
      <c r="X46" s="5">
        <f>SUM(X44:X45)</f>
        <v>5023844.8504085103</v>
      </c>
      <c r="Y46" s="40">
        <f>V46/E$26</f>
        <v>4921.29</v>
      </c>
      <c r="Z46" s="77">
        <f>Y46/(X46/1000000)</f>
        <v>979.58638185250265</v>
      </c>
    </row>
    <row r="47" spans="1:32" s="10" customFormat="1" x14ac:dyDescent="0.25">
      <c r="A47" s="4" t="s">
        <v>6</v>
      </c>
      <c r="B47" s="28"/>
      <c r="C47" s="14"/>
      <c r="D47" s="80"/>
      <c r="E47" s="64"/>
      <c r="F47" s="5"/>
      <c r="G47" s="177">
        <f>G46/$B46</f>
        <v>945.00445313407181</v>
      </c>
      <c r="H47" s="178"/>
      <c r="I47" s="67"/>
      <c r="J47" s="43"/>
      <c r="K47" s="16"/>
      <c r="L47" s="9"/>
      <c r="M47" s="5">
        <f>M46/$B46</f>
        <v>897.75423047736831</v>
      </c>
      <c r="N47" s="7"/>
      <c r="O47" s="7"/>
      <c r="P47" s="7"/>
      <c r="Q47" s="7"/>
      <c r="R47" s="59"/>
      <c r="S47" s="8"/>
      <c r="T47" s="44"/>
      <c r="U47" s="38"/>
      <c r="V47" s="49"/>
      <c r="W47" s="5">
        <f>W46/$B46</f>
        <v>107.01473960433371</v>
      </c>
      <c r="X47" s="5">
        <f>X46/B46</f>
        <v>1004.768970081702</v>
      </c>
      <c r="Y47" s="40"/>
      <c r="Z47" s="16"/>
    </row>
    <row r="48" spans="1:32" x14ac:dyDescent="0.25">
      <c r="B48" s="29"/>
      <c r="E48" s="154"/>
      <c r="F48" s="154"/>
      <c r="G48" s="154"/>
      <c r="H48" s="154"/>
      <c r="I48" s="154"/>
    </row>
    <row r="49" spans="1:26" s="11" customFormat="1" x14ac:dyDescent="0.25">
      <c r="A49" s="19"/>
      <c r="B49" s="30" t="s">
        <v>5</v>
      </c>
      <c r="C49" s="182" t="s">
        <v>4</v>
      </c>
      <c r="D49" s="183"/>
      <c r="E49" s="183"/>
      <c r="F49" s="183"/>
      <c r="G49" s="183"/>
      <c r="H49" s="183"/>
      <c r="I49" s="183"/>
      <c r="J49" s="183"/>
      <c r="K49" s="184"/>
      <c r="L49" s="182" t="s">
        <v>3</v>
      </c>
      <c r="M49" s="183"/>
      <c r="N49" s="183"/>
      <c r="O49" s="183"/>
      <c r="P49" s="183"/>
      <c r="Q49" s="183"/>
      <c r="R49" s="183"/>
      <c r="S49" s="183"/>
      <c r="T49" s="183"/>
      <c r="U49" s="183"/>
      <c r="V49" s="183"/>
      <c r="W49" s="183"/>
      <c r="X49" s="183"/>
      <c r="Y49" s="183"/>
      <c r="Z49" s="184"/>
    </row>
    <row r="50" spans="1:26" s="10" customFormat="1" ht="31.5" customHeight="1" x14ac:dyDescent="0.25">
      <c r="A50" s="6" t="s">
        <v>9</v>
      </c>
      <c r="B50" s="53" t="s">
        <v>10</v>
      </c>
      <c r="C50" s="82" t="s">
        <v>2</v>
      </c>
      <c r="D50" s="90" t="s">
        <v>107</v>
      </c>
      <c r="E50" s="83" t="s">
        <v>0</v>
      </c>
      <c r="F50" s="84" t="s">
        <v>11</v>
      </c>
      <c r="G50" s="179" t="s">
        <v>111</v>
      </c>
      <c r="H50" s="180"/>
      <c r="I50" s="85" t="s">
        <v>57</v>
      </c>
      <c r="J50" s="86" t="s">
        <v>65</v>
      </c>
      <c r="K50" s="87" t="s">
        <v>80</v>
      </c>
      <c r="L50" s="151" t="s">
        <v>108</v>
      </c>
      <c r="M50" s="84" t="s">
        <v>106</v>
      </c>
      <c r="N50" s="53" t="s">
        <v>105</v>
      </c>
      <c r="O50" s="90" t="s">
        <v>107</v>
      </c>
      <c r="P50" s="53" t="s">
        <v>109</v>
      </c>
      <c r="Q50" s="88" t="s">
        <v>57</v>
      </c>
      <c r="R50" s="89" t="s">
        <v>16</v>
      </c>
      <c r="S50" s="90" t="s">
        <v>66</v>
      </c>
      <c r="T50" s="91" t="s">
        <v>17</v>
      </c>
      <c r="U50" s="53" t="s">
        <v>18</v>
      </c>
      <c r="V50" s="92" t="s">
        <v>12</v>
      </c>
      <c r="W50" s="93" t="s">
        <v>110</v>
      </c>
      <c r="X50" s="84" t="s">
        <v>81</v>
      </c>
      <c r="Y50" s="86" t="s">
        <v>65</v>
      </c>
      <c r="Z50" s="87" t="s">
        <v>80</v>
      </c>
    </row>
    <row r="51" spans="1:26" x14ac:dyDescent="0.25">
      <c r="A51" s="3" t="s">
        <v>49</v>
      </c>
      <c r="B51" s="63">
        <v>1000</v>
      </c>
      <c r="C51" s="17">
        <v>1</v>
      </c>
      <c r="D51" s="81">
        <v>0</v>
      </c>
      <c r="E51" s="46">
        <f t="shared" ref="E51:E52" si="3">C51+D51</f>
        <v>1</v>
      </c>
      <c r="F51" s="2">
        <f>E$5</f>
        <v>945.00445313407192</v>
      </c>
      <c r="G51" s="175">
        <f>E51*F51*B51</f>
        <v>945004.4531340719</v>
      </c>
      <c r="H51" s="176"/>
      <c r="I51" s="65">
        <f>I44</f>
        <v>0.93</v>
      </c>
      <c r="J51" s="42">
        <f>B51*I51</f>
        <v>930</v>
      </c>
      <c r="K51" s="76">
        <f>J51/(G51/1000000)</f>
        <v>984.12234663624054</v>
      </c>
      <c r="L51" s="35">
        <f>F51*(1-E$11*E$21)</f>
        <v>897.75423047736831</v>
      </c>
      <c r="M51" s="25">
        <f>L51*B51</f>
        <v>897754.23047736834</v>
      </c>
      <c r="N51" s="15">
        <f>N37</f>
        <v>105.68701895014756</v>
      </c>
      <c r="O51" s="15">
        <v>0</v>
      </c>
      <c r="P51" s="15">
        <f>N51+O51</f>
        <v>105.68701895014756</v>
      </c>
      <c r="Q51" s="26">
        <f>Q44</f>
        <v>0.93</v>
      </c>
      <c r="R51" s="58">
        <f>E$26</f>
        <v>1</v>
      </c>
      <c r="S51" s="31">
        <f>R51*Q51</f>
        <v>0.93</v>
      </c>
      <c r="T51" s="39">
        <f>E$18</f>
        <v>0.15</v>
      </c>
      <c r="U51" s="32">
        <f>S51*(1+T51)</f>
        <v>1.0694999999999999</v>
      </c>
      <c r="V51" s="42">
        <f>B51*U51</f>
        <v>1069.5</v>
      </c>
      <c r="W51" s="12">
        <f>P51*V51</f>
        <v>113032.26676718281</v>
      </c>
      <c r="X51" s="2">
        <f>M51+W51</f>
        <v>1010786.4972445512</v>
      </c>
      <c r="Y51" s="52">
        <f>V51/E$26</f>
        <v>1069.5</v>
      </c>
      <c r="Z51" s="76">
        <f>Y51/(X51/1000000)</f>
        <v>1058.0869480503591</v>
      </c>
    </row>
    <row r="52" spans="1:26" x14ac:dyDescent="0.25">
      <c r="A52" s="3" t="s">
        <v>91</v>
      </c>
      <c r="B52" s="63">
        <v>4000</v>
      </c>
      <c r="C52" s="17">
        <v>1</v>
      </c>
      <c r="D52" s="81">
        <f>(E$6-1)*C52</f>
        <v>0</v>
      </c>
      <c r="E52" s="46">
        <f t="shared" si="3"/>
        <v>1</v>
      </c>
      <c r="F52" s="2">
        <f>E$5</f>
        <v>945.00445313407192</v>
      </c>
      <c r="G52" s="175">
        <f>E52*F52*B52</f>
        <v>3780017.8125362876</v>
      </c>
      <c r="H52" s="176"/>
      <c r="I52" s="65">
        <f>I45</f>
        <v>0.52300000000000002</v>
      </c>
      <c r="J52" s="42">
        <f>B52*I52</f>
        <v>2092</v>
      </c>
      <c r="K52" s="76">
        <f>J52/(G52/1000000)</f>
        <v>553.43654547392885</v>
      </c>
      <c r="L52" s="35">
        <f>F52*(1-E$11*E$21)</f>
        <v>897.75423047736831</v>
      </c>
      <c r="M52" s="25">
        <f>L52*B52</f>
        <v>3591016.9219094734</v>
      </c>
      <c r="N52" s="15">
        <f>N38</f>
        <v>105.68701895014756</v>
      </c>
      <c r="O52" s="15">
        <f>(E$16-1)*N52</f>
        <v>23.251144169032461</v>
      </c>
      <c r="P52" s="15">
        <f>N52+O52</f>
        <v>128.93816311918002</v>
      </c>
      <c r="Q52" s="26">
        <f>Q45</f>
        <v>0.52300000000000002</v>
      </c>
      <c r="R52" s="58">
        <f>E$26</f>
        <v>1</v>
      </c>
      <c r="S52" s="31">
        <f>R52*Q52</f>
        <v>0.52300000000000002</v>
      </c>
      <c r="T52" s="39">
        <f>E$19</f>
        <v>0.23</v>
      </c>
      <c r="U52" s="32">
        <f>S52*(1+T52)</f>
        <v>0.64329000000000003</v>
      </c>
      <c r="V52" s="42">
        <f>B52*U52</f>
        <v>2573.1600000000003</v>
      </c>
      <c r="W52" s="12">
        <f>P52*V52</f>
        <v>331778.5238117493</v>
      </c>
      <c r="X52" s="2">
        <f>M52+W52</f>
        <v>3922795.4457212226</v>
      </c>
      <c r="Y52" s="52">
        <f>V52/E$26</f>
        <v>2573.1600000000003</v>
      </c>
      <c r="Z52" s="76">
        <f>Y52/(X52/1000000)</f>
        <v>655.95059329608102</v>
      </c>
    </row>
    <row r="53" spans="1:26" s="10" customFormat="1" x14ac:dyDescent="0.25">
      <c r="A53" s="4" t="s">
        <v>0</v>
      </c>
      <c r="B53" s="28">
        <f>SUM(B51:B52)</f>
        <v>5000</v>
      </c>
      <c r="C53" s="14"/>
      <c r="D53" s="80"/>
      <c r="E53" s="64"/>
      <c r="F53" s="5"/>
      <c r="G53" s="173">
        <f>SUM(G51:G52)</f>
        <v>4725022.2656703591</v>
      </c>
      <c r="H53" s="174"/>
      <c r="I53" s="66">
        <f>J53/B53</f>
        <v>0.60440000000000005</v>
      </c>
      <c r="J53" s="40">
        <f>SUM(J51:J52)</f>
        <v>3022</v>
      </c>
      <c r="K53" s="77">
        <f>J53/(G53/1000000)</f>
        <v>639.57370570639114</v>
      </c>
      <c r="L53" s="150"/>
      <c r="M53" s="5">
        <f>SUM(M51:M52)</f>
        <v>4488771.1523868414</v>
      </c>
      <c r="N53" s="27"/>
      <c r="O53" s="7"/>
      <c r="P53" s="7"/>
      <c r="Q53" s="7"/>
      <c r="R53" s="59"/>
      <c r="S53" s="13"/>
      <c r="T53" s="44"/>
      <c r="U53" s="13"/>
      <c r="V53" s="13">
        <f>SUM(V51:V52)</f>
        <v>3642.6600000000003</v>
      </c>
      <c r="W53" s="5">
        <f>SUM(W51:W52)</f>
        <v>444810.79057893209</v>
      </c>
      <c r="X53" s="5">
        <f>SUM(X51:X52)</f>
        <v>4933581.9429657739</v>
      </c>
      <c r="Y53" s="40">
        <f>V53/E$26</f>
        <v>3642.6600000000003</v>
      </c>
      <c r="Z53" s="77">
        <f>Y53/(X53/1000000)</f>
        <v>738.33981924505167</v>
      </c>
    </row>
    <row r="54" spans="1:26" s="10" customFormat="1" x14ac:dyDescent="0.25">
      <c r="A54" s="4" t="s">
        <v>1</v>
      </c>
      <c r="B54" s="28"/>
      <c r="C54" s="14"/>
      <c r="D54" s="80"/>
      <c r="E54" s="64"/>
      <c r="F54" s="5"/>
      <c r="G54" s="173">
        <f>G53/$B53</f>
        <v>945.00445313407181</v>
      </c>
      <c r="H54" s="174"/>
      <c r="I54" s="24"/>
      <c r="J54" s="40"/>
      <c r="K54" s="16"/>
      <c r="L54" s="9"/>
      <c r="M54" s="5">
        <f>M53/$B53</f>
        <v>897.75423047736831</v>
      </c>
      <c r="N54" s="7"/>
      <c r="O54" s="7"/>
      <c r="P54" s="7"/>
      <c r="Q54" s="7"/>
      <c r="R54" s="59"/>
      <c r="S54" s="8"/>
      <c r="T54" s="44"/>
      <c r="U54" s="8"/>
      <c r="V54" s="13"/>
      <c r="W54" s="5">
        <f>W53/$B53</f>
        <v>88.962158115786423</v>
      </c>
      <c r="X54" s="5">
        <f>X53/B53</f>
        <v>986.71638859315476</v>
      </c>
      <c r="Y54" s="40"/>
      <c r="Z54" s="16"/>
    </row>
    <row r="55" spans="1:26" s="75" customFormat="1" x14ac:dyDescent="0.25">
      <c r="B55" s="121"/>
      <c r="D55" s="72"/>
      <c r="J55" s="122"/>
      <c r="R55" s="123"/>
      <c r="T55" s="124"/>
      <c r="V55" s="122"/>
      <c r="W55" s="125"/>
      <c r="Y55" s="122"/>
      <c r="Z55" s="125"/>
    </row>
    <row r="56" spans="1:26" s="75" customFormat="1" x14ac:dyDescent="0.25">
      <c r="B56" s="121"/>
      <c r="D56" s="72"/>
      <c r="J56" s="122"/>
      <c r="R56" s="123"/>
      <c r="T56" s="124"/>
      <c r="V56" s="122"/>
      <c r="W56" s="125"/>
      <c r="Y56" s="122"/>
      <c r="Z56" s="125"/>
    </row>
    <row r="57" spans="1:26" s="75" customFormat="1" x14ac:dyDescent="0.25">
      <c r="B57" s="121"/>
      <c r="D57" s="72"/>
      <c r="J57" s="122"/>
      <c r="R57" s="123"/>
      <c r="T57" s="124"/>
      <c r="V57" s="122"/>
      <c r="W57" s="125"/>
      <c r="Y57" s="122"/>
      <c r="Z57" s="125"/>
    </row>
    <row r="58" spans="1:26" s="75" customFormat="1" x14ac:dyDescent="0.25">
      <c r="B58" s="121"/>
      <c r="D58" s="72"/>
      <c r="J58" s="122"/>
      <c r="R58" s="123"/>
      <c r="T58" s="124"/>
      <c r="V58" s="122"/>
      <c r="W58" s="125"/>
      <c r="Y58" s="122"/>
      <c r="Z58" s="125"/>
    </row>
    <row r="59" spans="1:26" s="75" customFormat="1" x14ac:dyDescent="0.25">
      <c r="B59" s="121"/>
      <c r="D59" s="72"/>
      <c r="J59" s="122"/>
      <c r="R59" s="123"/>
      <c r="T59" s="124"/>
      <c r="V59" s="122"/>
      <c r="W59" s="125"/>
      <c r="Y59" s="122"/>
      <c r="Z59" s="125"/>
    </row>
    <row r="60" spans="1:26" s="75" customFormat="1" x14ac:dyDescent="0.25">
      <c r="B60" s="121"/>
      <c r="D60" s="72"/>
      <c r="J60" s="122"/>
      <c r="R60" s="123"/>
      <c r="T60" s="124"/>
      <c r="V60" s="122"/>
      <c r="W60" s="125"/>
      <c r="Y60" s="122"/>
      <c r="Z60" s="125"/>
    </row>
    <row r="61" spans="1:26" s="75" customFormat="1" x14ac:dyDescent="0.25">
      <c r="B61" s="121"/>
      <c r="D61" s="72"/>
      <c r="J61" s="122"/>
      <c r="R61" s="123"/>
      <c r="T61" s="124"/>
      <c r="V61" s="122"/>
      <c r="W61" s="125"/>
      <c r="Y61" s="122"/>
      <c r="Z61" s="125"/>
    </row>
    <row r="62" spans="1:26" s="75" customFormat="1" x14ac:dyDescent="0.25">
      <c r="B62" s="121"/>
      <c r="D62" s="72"/>
      <c r="J62" s="122"/>
      <c r="R62" s="123"/>
      <c r="T62" s="124"/>
      <c r="V62" s="122"/>
      <c r="W62" s="125"/>
      <c r="Y62" s="122"/>
      <c r="Z62" s="125"/>
    </row>
    <row r="63" spans="1:26" s="75" customFormat="1" x14ac:dyDescent="0.25">
      <c r="B63" s="121"/>
      <c r="D63" s="72"/>
      <c r="J63" s="122"/>
      <c r="R63" s="123"/>
      <c r="T63" s="124"/>
      <c r="V63" s="122"/>
      <c r="W63" s="125"/>
      <c r="Y63" s="122"/>
      <c r="Z63" s="125"/>
    </row>
    <row r="64" spans="1:26" s="75" customFormat="1" x14ac:dyDescent="0.25">
      <c r="B64" s="121"/>
      <c r="D64" s="72"/>
      <c r="J64" s="122"/>
      <c r="R64" s="123"/>
      <c r="T64" s="124"/>
      <c r="V64" s="122"/>
      <c r="W64" s="125"/>
      <c r="Y64" s="122"/>
      <c r="Z64" s="125"/>
    </row>
    <row r="65" spans="2:26" s="75" customFormat="1" x14ac:dyDescent="0.25">
      <c r="B65" s="121"/>
      <c r="D65" s="72"/>
      <c r="J65" s="122"/>
      <c r="R65" s="123"/>
      <c r="T65" s="124"/>
      <c r="V65" s="122"/>
      <c r="W65" s="125"/>
      <c r="Y65" s="122"/>
      <c r="Z65" s="125"/>
    </row>
    <row r="66" spans="2:26" s="75" customFormat="1" x14ac:dyDescent="0.25">
      <c r="B66" s="121"/>
      <c r="D66" s="72"/>
      <c r="J66" s="122"/>
      <c r="R66" s="123"/>
      <c r="T66" s="124"/>
      <c r="V66" s="122"/>
      <c r="W66" s="125"/>
      <c r="Y66" s="122"/>
      <c r="Z66" s="125"/>
    </row>
    <row r="67" spans="2:26" s="75" customFormat="1" x14ac:dyDescent="0.25">
      <c r="B67" s="121"/>
      <c r="D67" s="72"/>
      <c r="J67" s="122"/>
      <c r="R67" s="123"/>
      <c r="T67" s="124"/>
      <c r="V67" s="122"/>
      <c r="W67" s="125"/>
      <c r="Y67" s="122"/>
      <c r="Z67" s="125"/>
    </row>
    <row r="68" spans="2:26" s="75" customFormat="1" x14ac:dyDescent="0.25">
      <c r="B68" s="121"/>
      <c r="D68" s="72"/>
      <c r="J68" s="122"/>
      <c r="R68" s="123"/>
      <c r="T68" s="124"/>
      <c r="V68" s="122"/>
      <c r="W68" s="125"/>
      <c r="Y68" s="122"/>
      <c r="Z68" s="125"/>
    </row>
    <row r="69" spans="2:26" s="75" customFormat="1" x14ac:dyDescent="0.25">
      <c r="B69" s="121"/>
      <c r="D69" s="72"/>
      <c r="J69" s="122"/>
      <c r="R69" s="123"/>
      <c r="T69" s="124"/>
      <c r="V69" s="122"/>
      <c r="W69" s="125"/>
      <c r="Y69" s="122"/>
      <c r="Z69" s="125"/>
    </row>
    <row r="70" spans="2:26" s="75" customFormat="1" x14ac:dyDescent="0.25">
      <c r="B70" s="121"/>
      <c r="D70" s="72"/>
      <c r="J70" s="122"/>
      <c r="R70" s="123"/>
      <c r="T70" s="124"/>
      <c r="V70" s="122"/>
      <c r="W70" s="125"/>
      <c r="Y70" s="122"/>
      <c r="Z70" s="125"/>
    </row>
    <row r="71" spans="2:26" s="75" customFormat="1" x14ac:dyDescent="0.25">
      <c r="B71" s="121"/>
      <c r="D71" s="72"/>
      <c r="J71" s="122"/>
      <c r="R71" s="123"/>
      <c r="T71" s="124"/>
      <c r="V71" s="122"/>
      <c r="W71" s="125"/>
      <c r="Y71" s="122"/>
      <c r="Z71" s="125"/>
    </row>
    <row r="72" spans="2:26" s="75" customFormat="1" x14ac:dyDescent="0.25">
      <c r="B72" s="121"/>
      <c r="D72" s="72"/>
      <c r="J72" s="122"/>
      <c r="R72" s="123"/>
      <c r="T72" s="124"/>
      <c r="V72" s="122"/>
      <c r="W72" s="125"/>
      <c r="Y72" s="122"/>
      <c r="Z72" s="125"/>
    </row>
    <row r="73" spans="2:26" s="75" customFormat="1" x14ac:dyDescent="0.25">
      <c r="B73" s="121"/>
      <c r="D73" s="72"/>
      <c r="J73" s="122"/>
      <c r="R73" s="123"/>
      <c r="T73" s="124"/>
      <c r="V73" s="122"/>
      <c r="W73" s="125"/>
      <c r="Y73" s="122"/>
      <c r="Z73" s="125"/>
    </row>
    <row r="74" spans="2:26" s="75" customFormat="1" x14ac:dyDescent="0.25">
      <c r="B74" s="121"/>
      <c r="D74" s="72"/>
      <c r="J74" s="122"/>
      <c r="R74" s="123"/>
      <c r="T74" s="124"/>
      <c r="V74" s="122"/>
      <c r="W74" s="125"/>
      <c r="Y74" s="122"/>
      <c r="Z74" s="125"/>
    </row>
    <row r="75" spans="2:26" s="75" customFormat="1" x14ac:dyDescent="0.25">
      <c r="B75" s="121"/>
      <c r="D75" s="72"/>
      <c r="J75" s="122"/>
      <c r="R75" s="123"/>
      <c r="T75" s="124"/>
      <c r="V75" s="122"/>
      <c r="W75" s="125"/>
      <c r="Y75" s="122"/>
      <c r="Z75" s="125"/>
    </row>
    <row r="76" spans="2:26" s="75" customFormat="1" x14ac:dyDescent="0.25">
      <c r="B76" s="121"/>
      <c r="D76" s="72"/>
      <c r="J76" s="122"/>
      <c r="R76" s="123"/>
      <c r="T76" s="124"/>
      <c r="V76" s="122"/>
      <c r="W76" s="125"/>
      <c r="Y76" s="122"/>
      <c r="Z76" s="125"/>
    </row>
    <row r="77" spans="2:26" s="75" customFormat="1" x14ac:dyDescent="0.25">
      <c r="B77" s="121"/>
      <c r="D77" s="72"/>
      <c r="J77" s="122"/>
      <c r="R77" s="123"/>
      <c r="T77" s="124"/>
      <c r="V77" s="122"/>
      <c r="W77" s="125"/>
      <c r="Y77" s="122"/>
      <c r="Z77" s="125"/>
    </row>
    <row r="78" spans="2:26" s="75" customFormat="1" x14ac:dyDescent="0.25">
      <c r="B78" s="121"/>
      <c r="D78" s="72"/>
      <c r="J78" s="122"/>
      <c r="R78" s="123"/>
      <c r="T78" s="124"/>
      <c r="V78" s="122"/>
      <c r="W78" s="125"/>
      <c r="Y78" s="122"/>
      <c r="Z78" s="125"/>
    </row>
    <row r="79" spans="2:26" s="75" customFormat="1" x14ac:dyDescent="0.25">
      <c r="B79" s="121"/>
      <c r="D79" s="72"/>
      <c r="J79" s="122"/>
      <c r="R79" s="123"/>
      <c r="T79" s="124"/>
      <c r="V79" s="122"/>
      <c r="W79" s="125"/>
      <c r="Y79" s="122"/>
      <c r="Z79" s="125"/>
    </row>
    <row r="80" spans="2:26" s="75" customFormat="1" x14ac:dyDescent="0.25">
      <c r="B80" s="121"/>
      <c r="D80" s="72"/>
      <c r="J80" s="122"/>
      <c r="R80" s="123"/>
      <c r="T80" s="124"/>
      <c r="V80" s="122"/>
      <c r="W80" s="125"/>
      <c r="Y80" s="122"/>
      <c r="Z80" s="125"/>
    </row>
    <row r="81" spans="2:26" s="75" customFormat="1" x14ac:dyDescent="0.25">
      <c r="B81" s="121"/>
      <c r="D81" s="72"/>
      <c r="J81" s="122"/>
      <c r="R81" s="123"/>
      <c r="T81" s="124"/>
      <c r="V81" s="122"/>
      <c r="W81" s="125"/>
      <c r="Y81" s="122"/>
      <c r="Z81" s="125"/>
    </row>
    <row r="82" spans="2:26" s="75" customFormat="1" x14ac:dyDescent="0.25">
      <c r="B82" s="121"/>
      <c r="D82" s="72"/>
      <c r="J82" s="122"/>
      <c r="R82" s="123"/>
      <c r="T82" s="124"/>
      <c r="V82" s="122"/>
      <c r="W82" s="125"/>
      <c r="Y82" s="122"/>
      <c r="Z82" s="125"/>
    </row>
    <row r="83" spans="2:26" s="75" customFormat="1" x14ac:dyDescent="0.25">
      <c r="B83" s="121"/>
      <c r="D83" s="72"/>
      <c r="J83" s="122"/>
      <c r="R83" s="123"/>
      <c r="T83" s="124"/>
      <c r="V83" s="122"/>
      <c r="W83" s="125"/>
      <c r="Y83" s="122"/>
      <c r="Z83" s="125"/>
    </row>
    <row r="84" spans="2:26" s="75" customFormat="1" x14ac:dyDescent="0.25">
      <c r="B84" s="121"/>
      <c r="D84" s="72"/>
      <c r="J84" s="122"/>
      <c r="R84" s="123"/>
      <c r="T84" s="124"/>
      <c r="V84" s="122"/>
      <c r="W84" s="125"/>
      <c r="Y84" s="122"/>
      <c r="Z84" s="125"/>
    </row>
    <row r="85" spans="2:26" s="75" customFormat="1" x14ac:dyDescent="0.25">
      <c r="B85" s="121"/>
      <c r="D85" s="72"/>
      <c r="J85" s="122"/>
      <c r="R85" s="123"/>
      <c r="T85" s="124"/>
      <c r="V85" s="122"/>
      <c r="W85" s="125"/>
      <c r="Y85" s="122"/>
      <c r="Z85" s="125"/>
    </row>
    <row r="86" spans="2:26" s="75" customFormat="1" x14ac:dyDescent="0.25">
      <c r="B86" s="121"/>
      <c r="D86" s="72"/>
      <c r="J86" s="122"/>
      <c r="R86" s="123"/>
      <c r="T86" s="124"/>
      <c r="V86" s="122"/>
      <c r="W86" s="125"/>
      <c r="Y86" s="122"/>
      <c r="Z86" s="125"/>
    </row>
    <row r="87" spans="2:26" s="75" customFormat="1" x14ac:dyDescent="0.25">
      <c r="B87" s="121"/>
      <c r="D87" s="72"/>
      <c r="J87" s="122"/>
      <c r="R87" s="123"/>
      <c r="T87" s="124"/>
      <c r="V87" s="122"/>
      <c r="W87" s="125"/>
      <c r="Y87" s="122"/>
      <c r="Z87" s="125"/>
    </row>
    <row r="88" spans="2:26" s="75" customFormat="1" x14ac:dyDescent="0.25">
      <c r="B88" s="121"/>
      <c r="D88" s="72"/>
      <c r="J88" s="122"/>
      <c r="R88" s="123"/>
      <c r="T88" s="124"/>
      <c r="V88" s="122"/>
      <c r="W88" s="125"/>
      <c r="Y88" s="122"/>
      <c r="Z88" s="125"/>
    </row>
    <row r="89" spans="2:26" s="75" customFormat="1" x14ac:dyDescent="0.25">
      <c r="B89" s="121"/>
      <c r="D89" s="72"/>
      <c r="J89" s="122"/>
      <c r="R89" s="123"/>
      <c r="T89" s="124"/>
      <c r="V89" s="122"/>
      <c r="W89" s="125"/>
      <c r="Y89" s="122"/>
      <c r="Z89" s="125"/>
    </row>
    <row r="90" spans="2:26" s="75" customFormat="1" x14ac:dyDescent="0.25">
      <c r="B90" s="121"/>
      <c r="D90" s="72"/>
      <c r="J90" s="122"/>
      <c r="R90" s="123"/>
      <c r="T90" s="124"/>
      <c r="V90" s="122"/>
      <c r="W90" s="125"/>
      <c r="Y90" s="122"/>
      <c r="Z90" s="125"/>
    </row>
    <row r="91" spans="2:26" s="75" customFormat="1" x14ac:dyDescent="0.25">
      <c r="B91" s="121"/>
      <c r="D91" s="72"/>
      <c r="J91" s="122"/>
      <c r="R91" s="123"/>
      <c r="T91" s="124"/>
      <c r="V91" s="122"/>
      <c r="W91" s="125"/>
      <c r="Y91" s="122"/>
      <c r="Z91" s="125"/>
    </row>
    <row r="92" spans="2:26" s="75" customFormat="1" x14ac:dyDescent="0.25">
      <c r="B92" s="121"/>
      <c r="D92" s="72"/>
      <c r="J92" s="122"/>
      <c r="R92" s="123"/>
      <c r="T92" s="124"/>
      <c r="V92" s="122"/>
      <c r="W92" s="125"/>
      <c r="Y92" s="122"/>
      <c r="Z92" s="125"/>
    </row>
    <row r="93" spans="2:26" s="75" customFormat="1" x14ac:dyDescent="0.25">
      <c r="B93" s="121"/>
      <c r="D93" s="72"/>
      <c r="J93" s="122"/>
      <c r="R93" s="123"/>
      <c r="T93" s="124"/>
      <c r="V93" s="122"/>
      <c r="W93" s="125"/>
      <c r="Y93" s="122"/>
      <c r="Z93" s="125"/>
    </row>
    <row r="94" spans="2:26" s="75" customFormat="1" x14ac:dyDescent="0.25">
      <c r="B94" s="121"/>
      <c r="D94" s="72"/>
      <c r="J94" s="122"/>
      <c r="R94" s="123"/>
      <c r="T94" s="124"/>
      <c r="V94" s="122"/>
      <c r="W94" s="125"/>
      <c r="Y94" s="122"/>
      <c r="Z94" s="125"/>
    </row>
    <row r="95" spans="2:26" s="75" customFormat="1" x14ac:dyDescent="0.25">
      <c r="B95" s="121"/>
      <c r="D95" s="72"/>
      <c r="J95" s="122"/>
      <c r="R95" s="123"/>
      <c r="T95" s="124"/>
      <c r="V95" s="122"/>
      <c r="W95" s="125"/>
      <c r="Y95" s="122"/>
      <c r="Z95" s="125"/>
    </row>
    <row r="96" spans="2:26" s="75" customFormat="1" x14ac:dyDescent="0.25">
      <c r="B96" s="121"/>
      <c r="D96" s="72"/>
      <c r="J96" s="122"/>
      <c r="R96" s="123"/>
      <c r="T96" s="124"/>
      <c r="V96" s="122"/>
      <c r="W96" s="125"/>
      <c r="Y96" s="122"/>
      <c r="Z96" s="125"/>
    </row>
    <row r="97" spans="2:26" s="75" customFormat="1" x14ac:dyDescent="0.25">
      <c r="B97" s="121"/>
      <c r="D97" s="72"/>
      <c r="J97" s="122"/>
      <c r="R97" s="123"/>
      <c r="T97" s="124"/>
      <c r="V97" s="122"/>
      <c r="W97" s="125"/>
      <c r="Y97" s="122"/>
      <c r="Z97" s="125"/>
    </row>
    <row r="98" spans="2:26" s="75" customFormat="1" x14ac:dyDescent="0.25">
      <c r="B98" s="121"/>
      <c r="D98" s="72"/>
      <c r="J98" s="122"/>
      <c r="R98" s="123"/>
      <c r="T98" s="124"/>
      <c r="V98" s="122"/>
      <c r="W98" s="125"/>
      <c r="Y98" s="122"/>
      <c r="Z98" s="125"/>
    </row>
    <row r="99" spans="2:26" s="75" customFormat="1" x14ac:dyDescent="0.25">
      <c r="B99" s="121"/>
      <c r="D99" s="72"/>
      <c r="J99" s="122"/>
      <c r="R99" s="123"/>
      <c r="T99" s="124"/>
      <c r="V99" s="122"/>
      <c r="W99" s="125"/>
      <c r="Y99" s="122"/>
      <c r="Z99" s="125"/>
    </row>
    <row r="100" spans="2:26" s="75" customFormat="1" x14ac:dyDescent="0.25">
      <c r="B100" s="121"/>
      <c r="D100" s="72"/>
      <c r="J100" s="122"/>
      <c r="R100" s="123"/>
      <c r="T100" s="124"/>
      <c r="V100" s="122"/>
      <c r="W100" s="125"/>
      <c r="Y100" s="122"/>
      <c r="Z100" s="125"/>
    </row>
    <row r="101" spans="2:26" s="75" customFormat="1" x14ac:dyDescent="0.25">
      <c r="B101" s="121"/>
      <c r="D101" s="72"/>
      <c r="J101" s="122"/>
      <c r="R101" s="123"/>
      <c r="T101" s="124"/>
      <c r="V101" s="122"/>
      <c r="W101" s="125"/>
      <c r="Y101" s="122"/>
      <c r="Z101" s="125"/>
    </row>
    <row r="102" spans="2:26" s="75" customFormat="1" x14ac:dyDescent="0.25">
      <c r="B102" s="121"/>
      <c r="D102" s="72"/>
      <c r="J102" s="122"/>
      <c r="R102" s="123"/>
      <c r="T102" s="124"/>
      <c r="V102" s="122"/>
      <c r="W102" s="125"/>
      <c r="Y102" s="122"/>
      <c r="Z102" s="125"/>
    </row>
    <row r="103" spans="2:26" s="75" customFormat="1" x14ac:dyDescent="0.25">
      <c r="B103" s="121"/>
      <c r="D103" s="72"/>
      <c r="J103" s="122"/>
      <c r="R103" s="123"/>
      <c r="T103" s="124"/>
      <c r="V103" s="122"/>
      <c r="W103" s="125"/>
      <c r="Y103" s="122"/>
      <c r="Z103" s="125"/>
    </row>
    <row r="104" spans="2:26" s="75" customFormat="1" x14ac:dyDescent="0.25">
      <c r="B104" s="121"/>
      <c r="D104" s="72"/>
      <c r="J104" s="122"/>
      <c r="R104" s="123"/>
      <c r="T104" s="124"/>
      <c r="V104" s="122"/>
      <c r="W104" s="125"/>
      <c r="Y104" s="122"/>
      <c r="Z104" s="125"/>
    </row>
    <row r="105" spans="2:26" s="75" customFormat="1" x14ac:dyDescent="0.25">
      <c r="B105" s="121"/>
      <c r="D105" s="72"/>
      <c r="J105" s="122"/>
      <c r="R105" s="123"/>
      <c r="T105" s="124"/>
      <c r="V105" s="122"/>
      <c r="W105" s="125"/>
      <c r="Y105" s="122"/>
      <c r="Z105" s="125"/>
    </row>
    <row r="106" spans="2:26" s="75" customFormat="1" x14ac:dyDescent="0.25">
      <c r="B106" s="121"/>
      <c r="D106" s="72"/>
      <c r="J106" s="122"/>
      <c r="R106" s="123"/>
      <c r="T106" s="124"/>
      <c r="V106" s="122"/>
      <c r="W106" s="125"/>
      <c r="Y106" s="122"/>
      <c r="Z106" s="125"/>
    </row>
  </sheetData>
  <mergeCells count="88">
    <mergeCell ref="H19:L19"/>
    <mergeCell ref="H20:L20"/>
    <mergeCell ref="E25:F25"/>
    <mergeCell ref="E17:F17"/>
    <mergeCell ref="E18:F18"/>
    <mergeCell ref="E21:F21"/>
    <mergeCell ref="E24:F24"/>
    <mergeCell ref="E19:F19"/>
    <mergeCell ref="E20:F20"/>
    <mergeCell ref="H21:L21"/>
    <mergeCell ref="H22:L22"/>
    <mergeCell ref="H17:L17"/>
    <mergeCell ref="H18:L18"/>
    <mergeCell ref="O1:R1"/>
    <mergeCell ref="A8:D8"/>
    <mergeCell ref="A9:D9"/>
    <mergeCell ref="A4:F4"/>
    <mergeCell ref="E7:F7"/>
    <mergeCell ref="A3:F3"/>
    <mergeCell ref="A7:D7"/>
    <mergeCell ref="A5:D5"/>
    <mergeCell ref="A6:D6"/>
    <mergeCell ref="E8:F8"/>
    <mergeCell ref="E9:F9"/>
    <mergeCell ref="H3:M3"/>
    <mergeCell ref="A1:M1"/>
    <mergeCell ref="E10:F10"/>
    <mergeCell ref="E5:F5"/>
    <mergeCell ref="E6:F6"/>
    <mergeCell ref="A21:D21"/>
    <mergeCell ref="A22:D22"/>
    <mergeCell ref="A20:D20"/>
    <mergeCell ref="E11:F11"/>
    <mergeCell ref="E16:F16"/>
    <mergeCell ref="E12:F12"/>
    <mergeCell ref="E13:F13"/>
    <mergeCell ref="E14:F14"/>
    <mergeCell ref="E15:F15"/>
    <mergeCell ref="E22:F22"/>
    <mergeCell ref="L42:Z42"/>
    <mergeCell ref="H27:L27"/>
    <mergeCell ref="G36:H36"/>
    <mergeCell ref="H23:L23"/>
    <mergeCell ref="H24:L24"/>
    <mergeCell ref="H25:L25"/>
    <mergeCell ref="L35:Z35"/>
    <mergeCell ref="C35:K35"/>
    <mergeCell ref="E26:F26"/>
    <mergeCell ref="G37:H37"/>
    <mergeCell ref="G38:H38"/>
    <mergeCell ref="E28:F28"/>
    <mergeCell ref="E23:F23"/>
    <mergeCell ref="A33:Z33"/>
    <mergeCell ref="E30:F30"/>
    <mergeCell ref="A30:D30"/>
    <mergeCell ref="L49:Z49"/>
    <mergeCell ref="H4:L4"/>
    <mergeCell ref="H5:L5"/>
    <mergeCell ref="H6:L6"/>
    <mergeCell ref="H7:L7"/>
    <mergeCell ref="H8:L8"/>
    <mergeCell ref="H9:L9"/>
    <mergeCell ref="H10:L10"/>
    <mergeCell ref="H11:L11"/>
    <mergeCell ref="H12:L12"/>
    <mergeCell ref="H13:L13"/>
    <mergeCell ref="H14:L14"/>
    <mergeCell ref="H15:L15"/>
    <mergeCell ref="H16:L16"/>
    <mergeCell ref="C49:K49"/>
    <mergeCell ref="H26:L26"/>
    <mergeCell ref="E27:F27"/>
    <mergeCell ref="A23:D23"/>
    <mergeCell ref="E29:F29"/>
    <mergeCell ref="G39:H39"/>
    <mergeCell ref="G40:H40"/>
    <mergeCell ref="G41:H41"/>
    <mergeCell ref="G43:H43"/>
    <mergeCell ref="G44:H44"/>
    <mergeCell ref="C42:K42"/>
    <mergeCell ref="G52:H52"/>
    <mergeCell ref="G53:H53"/>
    <mergeCell ref="G54:H54"/>
    <mergeCell ref="G45:H45"/>
    <mergeCell ref="G46:H46"/>
    <mergeCell ref="G47:H47"/>
    <mergeCell ref="G50:H50"/>
    <mergeCell ref="G51:H51"/>
  </mergeCells>
  <dataValidations count="6">
    <dataValidation type="list" allowBlank="1" showInputMessage="1" showErrorMessage="1" prompt="Chose 1 of 3 options; this sets performance funding pool and determines unadjusted impact on success rates." sqref="E11:F11" xr:uid="{F9CDD3B9-063A-4A54-A450-6DAD8FA45BFA}">
      <formula1>$B$11:$D$11</formula1>
    </dataValidation>
    <dataValidation type="list" errorStyle="warning" allowBlank="1" showInputMessage="1" showErrorMessage="1" prompt="Choose 1 of 3 options; this determines adjusted impact for at-risk students." sqref="E16:F16" xr:uid="{881ACA0C-4345-4B36-B5F7-F2FC4AD0BED3}">
      <formula1>$B$16:$D$16</formula1>
    </dataValidation>
    <dataValidation type="list" allowBlank="1" showInputMessage="1" showErrorMessage="1" prompt="Yes means performance cannot exceed pool." sqref="E22:F22" xr:uid="{BE01FE11-F325-4B98-88F1-48371E1B7DD6}">
      <formula1>"Yes,No"</formula1>
    </dataValidation>
    <dataValidation allowBlank="1" showInputMessage="1" showErrorMessage="1" prompt="100% means all comes out of enrollment funding; 0% means all comes on top of enrollment." sqref="E21:F21" xr:uid="{71530BAC-A7DF-41BE-9D54-16121204C505}"/>
    <dataValidation allowBlank="1" showInputMessage="1" showErrorMessage="1" prompt="Set funding per course success." sqref="E25:F25" xr:uid="{44DE8029-0E79-40F1-B52C-4C2F965F57FC}"/>
    <dataValidation allowBlank="1" showInputMessage="1" showErrorMessage="1" prompt="1 means funding based on entire course; more than 1 means funding based on success on sub-course units." sqref="E26:F26" xr:uid="{4C6ACD15-286C-4781-8931-6271DB94AA38}"/>
  </dataValidations>
  <pageMargins left="0.7" right="0.7" top="0.75" bottom="0.75" header="0.3" footer="0.3"/>
  <pageSetup scale="5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43249-207E-4001-9C3E-EEE89C7EA9B7}">
  <dimension ref="A1:D7"/>
  <sheetViews>
    <sheetView workbookViewId="0">
      <selection activeCell="H16" sqref="H16"/>
    </sheetView>
  </sheetViews>
  <sheetFormatPr defaultRowHeight="15" x14ac:dyDescent="0.25"/>
  <sheetData>
    <row r="1" spans="1:4" x14ac:dyDescent="0.25">
      <c r="A1" s="262" t="s">
        <v>74</v>
      </c>
      <c r="B1" s="262"/>
      <c r="C1" s="262"/>
      <c r="D1" s="262"/>
    </row>
    <row r="2" spans="1:4" x14ac:dyDescent="0.25">
      <c r="A2" s="263" t="s">
        <v>50</v>
      </c>
      <c r="B2" s="263"/>
      <c r="C2" s="264">
        <v>2847829.52</v>
      </c>
      <c r="D2" s="264"/>
    </row>
    <row r="3" spans="1:4" x14ac:dyDescent="0.25">
      <c r="A3" s="260" t="s">
        <v>51</v>
      </c>
      <c r="B3" s="261"/>
      <c r="C3" s="265">
        <v>13036844819</v>
      </c>
      <c r="D3" s="266"/>
    </row>
    <row r="4" spans="1:4" x14ac:dyDescent="0.25">
      <c r="A4" s="260" t="s">
        <v>52</v>
      </c>
      <c r="B4" s="261"/>
      <c r="C4" s="265">
        <v>3110424650</v>
      </c>
      <c r="D4" s="266"/>
    </row>
    <row r="5" spans="1:4" x14ac:dyDescent="0.25">
      <c r="A5" s="260" t="s">
        <v>0</v>
      </c>
      <c r="B5" s="261"/>
      <c r="C5" s="265">
        <f>C3+C4</f>
        <v>16147269469</v>
      </c>
      <c r="D5" s="266"/>
    </row>
    <row r="6" spans="1:4" x14ac:dyDescent="0.25">
      <c r="A6" s="133" t="s">
        <v>53</v>
      </c>
      <c r="B6" s="133"/>
      <c r="C6" s="256">
        <f>C5/C2</f>
        <v>5670.0267188044318</v>
      </c>
      <c r="D6" s="257"/>
    </row>
    <row r="7" spans="1:4" x14ac:dyDescent="0.25">
      <c r="A7" s="126" t="s">
        <v>72</v>
      </c>
      <c r="B7" s="126"/>
      <c r="C7" s="258">
        <f>C6/6</f>
        <v>945.00445313407192</v>
      </c>
      <c r="D7" s="259"/>
    </row>
  </sheetData>
  <mergeCells count="11">
    <mergeCell ref="C6:D6"/>
    <mergeCell ref="C7:D7"/>
    <mergeCell ref="A3:B3"/>
    <mergeCell ref="A4:B4"/>
    <mergeCell ref="A1:D1"/>
    <mergeCell ref="A2:B2"/>
    <mergeCell ref="C2:D2"/>
    <mergeCell ref="C3:D3"/>
    <mergeCell ref="C4:D4"/>
    <mergeCell ref="A5:B5"/>
    <mergeCell ref="C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Explanations</vt:lpstr>
      <vt:lpstr>Modeling</vt:lpstr>
      <vt:lpstr>Current Funding</vt:lpstr>
      <vt:lpstr>Modeling!Print_Area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Joseph (matthewj@excelined.org)</dc:creator>
  <cp:lastModifiedBy>Clare Crowson (Clare@excelined.org)</cp:lastModifiedBy>
  <cp:lastPrinted>2018-07-24T13:36:52Z</cp:lastPrinted>
  <dcterms:created xsi:type="dcterms:W3CDTF">2017-09-07T17:05:05Z</dcterms:created>
  <dcterms:modified xsi:type="dcterms:W3CDTF">2018-08-01T20:55:03Z</dcterms:modified>
</cp:coreProperties>
</file>